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620" activeTab="0"/>
  </bookViews>
  <sheets>
    <sheet name="EDESU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0" hidden="1">{"Minpmon",#N/A,FALSE,"Monthinput"}</definedName>
    <definedName name="_________SRT11" hidden="1">{"Minpmon",#N/A,FALSE,"Monthinput"}</definedName>
    <definedName name="_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0" hidden="1">{"Minpmon",#N/A,FALSE,"Monthinput"}</definedName>
    <definedName name="________SRT11" hidden="1">{"Minpmon",#N/A,FALSE,"Monthinput"}</definedName>
    <definedName name="_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0" hidden="1">{"Minpmon",#N/A,FALSE,"Monthinput"}</definedName>
    <definedName name="_______SRT11" hidden="1">{"Minpmon",#N/A,FALSE,"Monthinput"}</definedName>
    <definedName name="_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0" hidden="1">{"Minpmon",#N/A,FALSE,"Monthinput"}</definedName>
    <definedName name="______SRT11" hidden="1">{"Minpmon",#N/A,FALSE,"Monthinput"}</definedName>
    <definedName name="_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0" hidden="1">{"Minpmon",#N/A,FALSE,"Monthinput"}</definedName>
    <definedName name="_____SRT11" hidden="1">{"Minpmon",#N/A,FALSE,"Monthinput"}</definedName>
    <definedName name="_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0" hidden="1">{"Minpmon",#N/A,FALSE,"Monthinput"}</definedName>
    <definedName name="____SRT11" hidden="1">{"Minpmon",#N/A,FALSE,"Monthinput"}</definedName>
    <definedName name="_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0" hidden="1">{"Minpmon",#N/A,FALSE,"Monthinput"}</definedName>
    <definedName name="___SRT11" hidden="1">{"Minpmon",#N/A,FALSE,"Monthinput"}</definedName>
    <definedName name="__123Graph_A" localSheetId="0" hidden="1">#N/A</definedName>
    <definedName name="__123Graph_A" hidden="1">#N/A</definedName>
    <definedName name="__123Graph_AChart1" localSheetId="0" hidden="1">'[1]IN_Cable'!#REF!</definedName>
    <definedName name="__123Graph_AChart1" hidden="1">'[1]IN_Cable'!#REF!</definedName>
    <definedName name="__123Graph_AChart2" localSheetId="0" hidden="1">'[1]IN_Cable'!#REF!</definedName>
    <definedName name="__123Graph_AChart2" hidden="1">'[1]IN_Cable'!#REF!</definedName>
    <definedName name="__123Graph_AChart3" localSheetId="0" hidden="1">'[1]IN_Cable'!#REF!</definedName>
    <definedName name="__123Graph_AChart3" hidden="1">'[1]IN_Cable'!#REF!</definedName>
    <definedName name="__123Graph_AChart4" localSheetId="0" hidden="1">'[1]IN_Cable'!#REF!</definedName>
    <definedName name="__123Graph_AChart4" hidden="1">'[1]IN_Cable'!#REF!</definedName>
    <definedName name="__123Graph_AChart5" localSheetId="0" hidden="1">'[1]IN_Cable'!#REF!</definedName>
    <definedName name="__123Graph_AChart5" hidden="1">'[1]IN_Cable'!#REF!</definedName>
    <definedName name="__123Graph_AChart6" localSheetId="0" hidden="1">'[1]IN_Cable'!#REF!</definedName>
    <definedName name="__123Graph_AChart6" hidden="1">'[1]IN_Cable'!#REF!</definedName>
    <definedName name="__123Graph_AChart7" localSheetId="0" hidden="1">'[1]IN_Cable'!#REF!</definedName>
    <definedName name="__123Graph_AChart7" hidden="1">'[1]IN_Cable'!#REF!</definedName>
    <definedName name="__123Graph_ACurrent" localSheetId="0" hidden="1">'[1]IN_Cable'!#REF!</definedName>
    <definedName name="__123Graph_ACurrent" hidden="1">'[1]IN_Cable'!#REF!</definedName>
    <definedName name="__123Graph_ADEBT" localSheetId="0" hidden="1">#N/A</definedName>
    <definedName name="__123Graph_ADEBT" hidden="1">#N/A</definedName>
    <definedName name="__123Graph_ADIFFERENTIAL" localSheetId="0" hidden="1">'[2]TAB25b'!#REF!</definedName>
    <definedName name="__123Graph_ADIFFERENTIAL" hidden="1">'[2]TAB25b'!#REF!</definedName>
    <definedName name="__123Graph_AINTEREST" localSheetId="0" hidden="1">'[2]TAB25b'!#REF!</definedName>
    <definedName name="__123Graph_AINTEREST" hidden="1">'[2]TAB25b'!#REF!</definedName>
    <definedName name="__123Graph_ASPREAD" localSheetId="0" hidden="1">'[2]TAB25b'!#REF!</definedName>
    <definedName name="__123Graph_ASPREAD" hidden="1">'[2]TAB25b'!#REF!</definedName>
    <definedName name="__123Graph_B" localSheetId="0" hidden="1">'[3]C'!#REF!</definedName>
    <definedName name="__123Graph_B" hidden="1">'[3]C'!#REF!</definedName>
    <definedName name="__123Graph_BCurrent" localSheetId="0" hidden="1">'[4]G'!#REF!</definedName>
    <definedName name="__123Graph_BCurrent" hidden="1">'[4]G'!#REF!</definedName>
    <definedName name="__123Graph_BDEBT" localSheetId="0" hidden="1">#N/A</definedName>
    <definedName name="__123Graph_BDEBT" hidden="1">#N/A</definedName>
    <definedName name="__123Graph_BINTEREST" localSheetId="0" hidden="1">'[2]TAB25b'!#REF!</definedName>
    <definedName name="__123Graph_BINTEREST" hidden="1">'[2]TAB25b'!#REF!</definedName>
    <definedName name="__123Graph_C" localSheetId="0" hidden="1">'[3]C'!#REF!</definedName>
    <definedName name="__123Graph_C" hidden="1">'[3]C'!#REF!</definedName>
    <definedName name="__123Graph_D" hidden="1">'[5]shared data'!$B$7937:$C$7937</definedName>
    <definedName name="__123Graph_E" localSheetId="0" hidden="1">'[3]C'!#REF!</definedName>
    <definedName name="__123Graph_E" hidden="1">'[3]C'!#REF!</definedName>
    <definedName name="__123Graph_F" localSheetId="0" hidden="1">'[3]C'!#REF!</definedName>
    <definedName name="__123Graph_F" hidden="1">'[3]C'!#REF!</definedName>
    <definedName name="__123Graph_X" hidden="1">'[5]shared data'!$B$7901:$C$7901</definedName>
    <definedName name="__123Graph_XDIFFERENTIAL" localSheetId="0" hidden="1">'[2]TAB25b'!#REF!</definedName>
    <definedName name="__123Graph_XDIFFERENTIAL" hidden="1">'[2]TAB25b'!#REF!</definedName>
    <definedName name="__123Graph_XSPREAD" localSheetId="0" hidden="1">'[2]TAB25b'!#REF!</definedName>
    <definedName name="__123Graph_XSPREAD" hidden="1">'[2]TAB25b'!#REF!</definedName>
    <definedName name="__IntlFixup" hidden="1">TRUE</definedName>
    <definedName name="_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0" hidden="1">{"Minpmon",#N/A,FALSE,"Monthinput"}</definedName>
    <definedName name="__SRT11" hidden="1">{"Minpmon",#N/A,FALSE,"Monthinput"}</definedName>
    <definedName name="_1__123Graph_AChart_1A" localSheetId="0" hidden="1">'[6]Platts Jul-00'!#REF!</definedName>
    <definedName name="_1__123Graph_AChart_1A" hidden="1">'[6]Platts Jul-00'!#REF!</definedName>
    <definedName name="_11__123Graph_AFIG_D" localSheetId="0" hidden="1">#N/A</definedName>
    <definedName name="_11__123Graph_AFIG_D" hidden="1">#N/A</definedName>
    <definedName name="_12__123Graph_AIBA_IBRD" hidden="1">'[7]WB'!$Q$62:$AK$62</definedName>
    <definedName name="_16__123Graph_ATERMS_OF_TRADE" localSheetId="0" hidden="1">#N/A</definedName>
    <definedName name="_16__123Graph_ATERMS_OF_TRADE" hidden="1">#N/A</definedName>
    <definedName name="_17__123Graph_AWB_ADJ_PRJ" hidden="1">'[7]WB'!$Q$255:$AK$255</definedName>
    <definedName name="_19__123Graph_BCPI_ER_LOG" localSheetId="0" hidden="1">'[7]ER'!#REF!</definedName>
    <definedName name="_19__123Graph_BCPI_ER_LOG" hidden="1">'[7]ER'!#REF!</definedName>
    <definedName name="_2__123Graph_AChart_1A" localSheetId="0" hidden="1">'[8]Platts Jul-00'!#REF!</definedName>
    <definedName name="_2__123Graph_AChart_1A" hidden="1">'[8]Platts Jul-00'!#REF!</definedName>
    <definedName name="_2__123Graph_BChart_1A" localSheetId="0" hidden="1">'[6]Platts Jul-00'!#REF!</definedName>
    <definedName name="_2__123Graph_BChart_1A" hidden="1">'[6]Platts Jul-00'!#REF!</definedName>
    <definedName name="_20__123Graph_BIBA_IBRD" localSheetId="0" hidden="1">'[7]WB'!#REF!</definedName>
    <definedName name="_20__123Graph_BIBA_IBRD" hidden="1">'[7]WB'!#REF!</definedName>
    <definedName name="_24__123Graph_BTERMS_OF_TRADE" localSheetId="0" hidden="1">#N/A</definedName>
    <definedName name="_24__123Graph_BTERMS_OF_TRADE" hidden="1">#N/A</definedName>
    <definedName name="_25__123Graph_BWB_ADJ_PRJ" hidden="1">'[7]WB'!$Q$257:$AK$257</definedName>
    <definedName name="_29__123Graph_XFIG_D" localSheetId="0" hidden="1">#N/A</definedName>
    <definedName name="_29__123Graph_XFIG_D" hidden="1">#N/A</definedName>
    <definedName name="_3__123Graph_AChart_1A" localSheetId="0" hidden="1">'[8]Platts Jul-00'!#REF!</definedName>
    <definedName name="_3__123Graph_AChart_1A" hidden="1">'[8]Platts Jul-00'!#REF!</definedName>
    <definedName name="_30__123Graph_XREALEX_WAGE" localSheetId="0" hidden="1">'[9]PRIVATE'!#REF!</definedName>
    <definedName name="_30__123Graph_XREALEX_WAGE" hidden="1">'[9]PRIVATE'!#REF!</definedName>
    <definedName name="_34__123Graph_XTERMS_OF_TRADE" localSheetId="0" hidden="1">#N/A</definedName>
    <definedName name="_34__123Graph_XTERMS_OF_TRADE" hidden="1">#N/A</definedName>
    <definedName name="_4__123Graph_BChart_1A" localSheetId="0" hidden="1">'[8]Platts Jul-00'!#REF!</definedName>
    <definedName name="_4__123Graph_BChart_1A" hidden="1">'[8]Platts Jul-00'!#REF!</definedName>
    <definedName name="_6__123Graph_BChart_1A" localSheetId="0" hidden="1">'[8]Platts Jul-00'!#REF!</definedName>
    <definedName name="_6__123Graph_BChart_1A" hidden="1">'[8]Platts Jul-00'!#REF!</definedName>
    <definedName name="_7__123Graph_ACPI_ER_LOG" localSheetId="0" hidden="1">'[7]ER'!#REF!</definedName>
    <definedName name="_7__123Graph_ACPI_ER_LOG" hidden="1">'[7]ER'!#REF!</definedName>
    <definedName name="_Fill" localSheetId="0" hidden="1">#N/A</definedName>
    <definedName name="_Fill" hidden="1">#N/A</definedName>
    <definedName name="_Fill1" localSheetId="0" hidden="1">#N/A</definedName>
    <definedName name="_Fill1" hidden="1">#N/A</definedName>
    <definedName name="_xlnm._FilterDatabase" hidden="1">'[10]C'!$P$428:$T$428</definedName>
    <definedName name="_Key1" localSheetId="0" hidden="1">#N/A</definedName>
    <definedName name="_Key1" hidden="1">#N/A</definedName>
    <definedName name="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0" hidden="1">#N/A</definedName>
    <definedName name="_Parse_Out" hidden="1">#N/A</definedName>
    <definedName name="_Regression_Int" hidden="1">1</definedName>
    <definedName name="_Regression_Out" hidden="1">'[10]C'!$AK$18:$AK$18</definedName>
    <definedName name="_Regression_X" hidden="1">'[10]C'!$AK$11:$AU$11</definedName>
    <definedName name="_Regression_Y" hidden="1">'[10]C'!$AK$10:$AU$10</definedName>
    <definedName name="_Sort" localSheetId="0" hidden="1">#N/A</definedName>
    <definedName name="_Sort" hidden="1">#N/A</definedName>
    <definedName name="_SRT11" localSheetId="0" hidden="1">{"Minpmon",#N/A,FALSE,"Monthinput"}</definedName>
    <definedName name="_SRT11" hidden="1">{"Minpmon",#N/A,FALSE,"Monthinput"}</definedName>
    <definedName name="_xlfn.AVERAGEIF" hidden="1">#NAME?</definedName>
    <definedName name="_xlfn.IFERROR" hidden="1">#NAME?</definedName>
    <definedName name="a" localSheetId="0" hidden="1">'[1]IN_Cable'!#REF!</definedName>
    <definedName name="a" hidden="1">'[1]IN_Cable'!#REF!</definedName>
    <definedName name="a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" localSheetId="0" hidden="1">'[1]IN_Cable'!#REF!</definedName>
    <definedName name="aaaaaaaa" hidden="1">'[1]IN_Cable'!#REF!</definedName>
    <definedName name="aaaaaaaaaaaaaaaaa" localSheetId="0" hidden="1">'[11]C Summary'!#REF!</definedName>
    <definedName name="aaaaaaaaaaaaaaaaa" hidden="1">'[11]C Summary'!#REF!</definedName>
    <definedName name="abu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tual">'[12]Soportes'!$M$2:$M$3</definedName>
    <definedName name="ACwvu.PLA1." localSheetId="0" hidden="1">'[13]COP FED'!#REF!</definedName>
    <definedName name="ACwvu.PLA1." hidden="1">'[13]COP FED'!#REF!</definedName>
    <definedName name="ACwvu.PLA2." hidden="1">'[13]COP FED'!$A$1:$N$49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na" localSheetId="0" hidden="1">'[14]J(Priv.Cap)'!#REF!</definedName>
    <definedName name="ana" hidden="1">'[14]J(Priv.Cap)'!#REF!</definedName>
    <definedName name="Andres" localSheetId="0" hidden="1">{"'Sheet1'!$A$1:$F$99"}</definedName>
    <definedName name="Andres" hidden="1">{"'Sheet1'!$A$1:$F$99"}</definedName>
    <definedName name="as" localSheetId="0" hidden="1">{"Minpmon",#N/A,FALSE,"Monthinput"}</definedName>
    <definedName name="as" hidden="1">{"Minpmon",#N/A,FALSE,"Monthinput"}</definedName>
    <definedName name="AS2DocOpenMode" hidden="1">"AS2DocumentEdit"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LPH1" hidden="1">'[15]Ex rate bloom'!$A$4</definedName>
    <definedName name="BLPH2" hidden="1">'[15]Ex rate bloom'!$D$4</definedName>
    <definedName name="BLPH3" hidden="1">'[15]Ex rate bloom'!$G$4</definedName>
    <definedName name="BLPH4" hidden="1">'[15]Ex rate bloom'!$J$4</definedName>
    <definedName name="BLPH5" hidden="1">'[15]Ex rate bloom'!$M$4</definedName>
    <definedName name="BLPH6" hidden="1">'[15]Ex rate bloom'!$P$4</definedName>
    <definedName name="BLPH7" hidden="1">'[15]Ex rate bloom'!$S$4</definedName>
    <definedName name="BLPH8" hidden="1">'[15]Ex rate bloom'!$V$4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0" hidden="1">{"'Sheet1'!$A$1:$F$99"}</definedName>
    <definedName name="Caratula" hidden="1">{"'Sheet1'!$A$1:$F$99"}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p" localSheetId="0" hidden="1">'[11]C Summary'!#REF!</definedName>
    <definedName name="cp" hidden="1">'[11]C Summary'!#REF!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er" localSheetId="0" hidden="1">{"Tab1",#N/A,FALSE,"P";"Tab2",#N/A,FALSE,"P"}</definedName>
    <definedName name="der" hidden="1">{"Tab1",#N/A,FALSE,"P";"Tab2",#N/A,FALSE,"P"}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0" hidden="1">{"'Sheet1'!$A$1:$F$99"}</definedName>
    <definedName name="dm" hidden="1">{"'Sheet1'!$A$1:$F$99"}</definedName>
    <definedName name="drd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0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a" localSheetId="0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0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0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0" hidden="1">{"'Sheet1'!$A$1:$F$99"}</definedName>
    <definedName name="fd" hidden="1">{"'Sheet1'!$A$1:$F$99"}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nancing" localSheetId="0" hidden="1">{"Tab1",#N/A,FALSE,"P";"Tab2",#N/A,FALSE,"P"}</definedName>
    <definedName name="Financing" hidden="1">{"Tab1",#N/A,FALSE,"P";"Tab2",#N/A,FALSE,"P"}</definedName>
    <definedName name="fjfj" localSheetId="0" hidden="1">{"'Sheet1'!$A$1:$F$99"}</definedName>
    <definedName name="fjfj" hidden="1">{"'Sheet1'!$A$1:$F$99"}</definedName>
    <definedName name="fre" localSheetId="0" hidden="1">{"Tab1",#N/A,FALSE,"P";"Tab2",#N/A,FALSE,"P"}</definedName>
    <definedName name="fre" hidden="1">{"Tab1",#N/A,FALSE,"P";"Tab2",#N/A,FALSE,"P"}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f" localSheetId="0" hidden="1">{"'Sheet1'!$A$1:$F$99"}</definedName>
    <definedName name="gf" hidden="1">{"'Sheet1'!$A$1:$F$99"}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0" hidden="1">'[16]J(Priv.Cap)'!#REF!</definedName>
    <definedName name="ggggg" hidden="1">'[16]J(Priv.Cap)'!#REF!</definedName>
    <definedName name="ght" localSheetId="0" hidden="1">{"Tab1",#N/A,FALSE,"P";"Tab2",#N/A,FALSE,"P"}</definedName>
    <definedName name="ght" hidden="1">{"Tab1",#N/A,FALSE,"P";"Tab2",#N/A,FALSE,"P"}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g" localSheetId="0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0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0" hidden="1">'[17]J(Priv.Cap)'!#REF!</definedName>
    <definedName name="hhh" hidden="1">'[17]J(Priv.Cap)'!#REF!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0" hidden="1">{"Tab1",#N/A,FALSE,"P";"Tab2",#N/A,FALSE,"P"}</definedName>
    <definedName name="hio" hidden="1">{"Tab1",#N/A,FALSE,"P";"Tab2",#N/A,FALSE,"P"}</definedName>
    <definedName name="hpu" localSheetId="0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0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jjj" localSheetId="0" hidden="1">'[18]M'!#REF!</definedName>
    <definedName name="jjj" hidden="1">'[18]M'!#REF!</definedName>
    <definedName name="jjjj" localSheetId="0" hidden="1">{"Tab1",#N/A,FALSE,"P";"Tab2",#N/A,FALSE,"P"}</definedName>
    <definedName name="jjjj" hidden="1">{"Tab1",#N/A,FALSE,"P";"Tab2",#N/A,FALSE,"P"}</definedName>
    <definedName name="jjjjjj" localSheetId="0" hidden="1">'[16]J(Priv.Cap)'!#REF!</definedName>
    <definedName name="jjjjjj" hidden="1">'[16]J(Priv.Cap)'!#REF!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{"Main Economic Indicators",#N/A,FALSE,"C"}</definedName>
    <definedName name="k" hidden="1">{"Main Economic Indicators",#N/A,FALSE,"C"}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j" localSheetId="0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'[19]M'!#REF!</definedName>
    <definedName name="kkkk" hidden="1">'[19]M'!#REF!</definedName>
    <definedName name="kkkkk" localSheetId="0" hidden="1">'[20]J(Priv.Cap)'!#REF!</definedName>
    <definedName name="kkkkk" hidden="1">'[20]J(Priv.Cap)'!#REF!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'[18]M'!#REF!</definedName>
    <definedName name="llll" hidden="1">'[18]M'!#REF!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M" localSheetId="0" hidden="1">{"'Sheet1'!$A$1:$F$99"}</definedName>
    <definedName name="LM" hidden="1">{"'Sheet1'!$A$1:$F$99"}</definedName>
    <definedName name="luis" localSheetId="0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0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0" hidden="1">{#N/A,#N/A,FALSE,"DATOS";#N/A,#N/A,FALSE,"RESUMEN";#N/A,#N/A,FALSE,"INVERS"}</definedName>
    <definedName name="luis_norte" hidden="1">{#N/A,#N/A,FALSE,"DATOS";#N/A,#N/A,FALSE,"RESUMEN";#N/A,#N/A,FALSE,"INVERS"}</definedName>
    <definedName name="luisnorte" localSheetId="0" hidden="1">{#N/A,#N/A,FALSE,"DATOS";#N/A,#N/A,FALSE,"RESUMEN";#N/A,#N/A,FALSE,"INVERS"}</definedName>
    <definedName name="luisnorte" hidden="1">{#N/A,#N/A,FALSE,"DATOS";#N/A,#N/A,FALSE,"RESUMEN";#N/A,#N/A,FALSE,"INVERS"}</definedName>
    <definedName name="Mes">'[22]Toggle'!$D$3:$D$14</definedName>
    <definedName name="Meses">'[22]Toggle'!$G$3:$G$254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n" localSheetId="0" hidden="1">{"Minpmon",#N/A,FALSE,"Monthinput"}</definedName>
    <definedName name="n" hidden="1">{"Minpmon",#N/A,FALSE,"Monthinput"}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o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ipito" localSheetId="0" hidden="1">{"'Sheet1'!$A$1:$F$99"}</definedName>
    <definedName name="pipito" hidden="1">{"'Sheet1'!$A$1:$F$99"}</definedName>
    <definedName name="pipito2" localSheetId="0" hidden="1">{"'Sheet1'!$A$1:$F$99"}</definedName>
    <definedName name="pipito2" hidden="1">{"'Sheet1'!$A$1:$F$99"}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EDESPACHADO" localSheetId="0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0" hidden="1">{#N/A,#N/A,FALSE,"Despacho potencia";#N/A,#N/A,FALSE,"DESPACHO EN OM"}</definedName>
    <definedName name="PREDESPACHADO2" hidden="1">{#N/A,#N/A,FALSE,"Despacho potencia";#N/A,#N/A,FALSE,"DESPACHO EN OM"}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localSheetId="0" hidden="1">'[17]J(Priv.Cap)'!#REF!</definedName>
    <definedName name="qq" hidden="1">'[17]J(Priv.Cap)'!#REF!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Rwvu.PLA2." localSheetId="0" hidden="1">'[13]COP FED'!#REF!</definedName>
    <definedName name="Rwvu.PLA2." hidden="1">'[13]COP FED'!#REF!</definedName>
    <definedName name="s" localSheetId="0" hidden="1">{"Tab1",#N/A,FALSE,"P";"Tab2",#N/A,FALSE,"P"}</definedName>
    <definedName name="s" hidden="1">{"Tab1",#N/A,FALSE,"P";"Tab2",#N/A,FALSE,"P"}</definedName>
    <definedName name="sa" localSheetId="0" hidden="1">{"'Sheet1'!$A$1:$F$99"}</definedName>
    <definedName name="sa" hidden="1">{"'Sheet1'!$A$1:$F$99"}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dfsdfsdfsd" localSheetId="0" hidden="1">{"Riqfin97",#N/A,FALSE,"Tran";"Riqfinpro",#N/A,FALSE,"Tran"}</definedName>
    <definedName name="sdfsdfsdfsd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tart_12">'[23]Variables Relevantes'!#REF!</definedName>
    <definedName name="Start_13">'[23]EDE''s'!#REF!</definedName>
    <definedName name="Start_14">'[23]CDEEE'!#REF!</definedName>
    <definedName name="Start_15">'[23]EGEHID'!#REF!</definedName>
    <definedName name="Start_16">'[23]ETED'!#REF!</definedName>
    <definedName name="Start_17">#N/A</definedName>
    <definedName name="Start_18">'[24]Anexo Res Financieros'!#REF!</definedName>
    <definedName name="Start_3">#N/A</definedName>
    <definedName name="Start_62">#N/A</definedName>
    <definedName name="Start_63">#N/A</definedName>
    <definedName name="Status">'[21]Toggle'!$C$3:$C$4</definedName>
    <definedName name="swe" localSheetId="0" hidden="1">{"Tab1",#N/A,FALSE,"P";"Tab2",#N/A,FALSE,"P"}</definedName>
    <definedName name="swe" hidden="1">{"Tab1",#N/A,FALSE,"P";"Tab2",#N/A,FALSE,"P"}</definedName>
    <definedName name="Swvu.PLA1." localSheetId="0" hidden="1">'[13]COP FED'!#REF!</definedName>
    <definedName name="Swvu.PLA1." hidden="1">'[13]COP FED'!#REF!</definedName>
    <definedName name="Swvu.PLA2." hidden="1">'[13]COP FED'!$A$1:$N$49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est5" localSheetId="0" hidden="1">{#N/A,#N/A,FALSE,"Despacho potencia";#N/A,#N/A,FALSE,"DESPACHO EN OM"}</definedName>
    <definedName name="test5" hidden="1">{#N/A,#N/A,FALSE,"Despacho potencia";#N/A,#N/A,FALSE,"DESPACHO EN OM"}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oggle">'[21]Toggle'!$B$3:$B$4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" localSheetId="0" hidden="1">{"Tab1",#N/A,FALSE,"P";"Tab2",#N/A,FALSE,"P"}</definedName>
    <definedName name="tttt" hidden="1">{"Tab1",#N/A,FALSE,"P";"Tab2",#N/A,FALSE,"P"}</definedName>
    <definedName name="ttttt" localSheetId="0" hidden="1">'[18]M'!#REF!</definedName>
    <definedName name="ttttt" hidden="1">'[18]M'!#REF!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w" localSheetId="0" hidden="1">{"Minpmon",#N/A,FALSE,"Monthinput"}</definedName>
    <definedName name="w" hidden="1">{"Minpmon",#N/A,FALSE,"Monthinput"}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rn.98RED." localSheetId="0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LZ._.RED._.tables." localSheetId="0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0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este." localSheetId="0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0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0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0" hidden="1">{#N/A,#N/A,FALSE,"DATOS";#N/A,#N/A,FALSE,"RESUMEN";#N/A,#N/A,FALSE,"INVERS"}</definedName>
    <definedName name="wrn.este_empresa" hidden="1">{#N/A,#N/A,FALSE,"DATOS";#N/A,#N/A,FALSE,"RESUMEN";#N/A,#N/A,FALSE,"INVERS"}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EDESPACHO." localSheetId="0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0" hidden="1">'[18]M'!#REF!</definedName>
    <definedName name="ww" hidden="1">'[18]M'!#REF!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0" hidden="1">'[25]M'!#REF!</definedName>
    <definedName name="wwww" hidden="1">'[25]M'!#REF!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u" localSheetId="0" hidden="1">{"Tab1",#N/A,FALSE,"P";"Tab2",#N/A,FALSE,"P"}</definedName>
    <definedName name="yu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#N/A</definedName>
    <definedName name="Z_1A8C061B_2301_11D3_BFD1_000039E37209_.wvu.Cols" hidden="1">#N/A</definedName>
    <definedName name="Z_1A8C061B_2301_11D3_BFD1_000039E37209_.wvu.Rows" localSheetId="0" hidden="1">#N/A</definedName>
    <definedName name="Z_1A8C061B_2301_11D3_BFD1_000039E37209_.wvu.Rows" hidden="1">#N/A</definedName>
    <definedName name="Z_1A8C061C_2301_11D3_BFD1_000039E37209_.wvu.Cols" localSheetId="0" hidden="1">#N/A</definedName>
    <definedName name="Z_1A8C061C_2301_11D3_BFD1_000039E37209_.wvu.Cols" hidden="1">#N/A</definedName>
    <definedName name="Z_1A8C061C_2301_11D3_BFD1_000039E37209_.wvu.Rows" localSheetId="0" hidden="1">#N/A</definedName>
    <definedName name="Z_1A8C061C_2301_11D3_BFD1_000039E37209_.wvu.Rows" hidden="1">#N/A</definedName>
    <definedName name="Z_1A8C061E_2301_11D3_BFD1_000039E37209_.wvu.Cols" localSheetId="0" hidden="1">#N/A</definedName>
    <definedName name="Z_1A8C061E_2301_11D3_BFD1_000039E37209_.wvu.Cols" hidden="1">#N/A</definedName>
    <definedName name="Z_1A8C061E_2301_11D3_BFD1_000039E37209_.wvu.Rows" localSheetId="0" hidden="1">#N/A</definedName>
    <definedName name="Z_1A8C061E_2301_11D3_BFD1_000039E37209_.wvu.Rows" hidden="1">#N/A</definedName>
    <definedName name="Z_1A8C061F_2301_11D3_BFD1_000039E37209_.wvu.Cols" localSheetId="0" hidden="1">#N/A</definedName>
    <definedName name="Z_1A8C061F_2301_11D3_BFD1_000039E37209_.wvu.Cols" hidden="1">#N/A</definedName>
    <definedName name="Z_1A8C061F_2301_11D3_BFD1_000039E37209_.wvu.Rows" localSheetId="0" hidden="1">#N/A</definedName>
    <definedName name="Z_1A8C061F_2301_11D3_BFD1_000039E37209_.wvu.Rows" hidden="1">#N/A</definedName>
    <definedName name="Z_95224721_0485_11D4_BFD1_00508B5F4DA4_.wvu.Cols" localSheetId="0" hidden="1">#N/A</definedName>
    <definedName name="Z_95224721_0485_11D4_BFD1_00508B5F4DA4_.wvu.Cols" hidden="1">#N/A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fullCalcOnLoad="1"/>
</workbook>
</file>

<file path=xl/sharedStrings.xml><?xml version="1.0" encoding="utf-8"?>
<sst xmlns="http://schemas.openxmlformats.org/spreadsheetml/2006/main" count="59" uniqueCount="40">
  <si>
    <t>Precio Medio de Compra de Energía (USCents/kWh)</t>
  </si>
  <si>
    <t>Factura por Compra de Energía (US$ MM)</t>
  </si>
  <si>
    <t>Compra de Energía CONTRATOS (GWh)</t>
  </si>
  <si>
    <t>Precio Medio de Compra de Energía CONTRATOS (USCents/kWh)</t>
  </si>
  <si>
    <t>Factura por Compra de Energía CONTRATOS (US$ MM)</t>
  </si>
  <si>
    <t>Compra de Energía SPOT (GWh)</t>
  </si>
  <si>
    <t>Precio Medio de Compra de Energía SPOT (USCents/kWh)</t>
  </si>
  <si>
    <t>Factura por Compra de Energía SPOT (US$ MM)</t>
  </si>
  <si>
    <t>Energía Facturada (GWh)</t>
  </si>
  <si>
    <t>Precio Medio de Venta de Energía (RD$/kWh)</t>
  </si>
  <si>
    <t>Energía Cobrada (GWh)</t>
  </si>
  <si>
    <t>FETE (US$ MM)</t>
  </si>
  <si>
    <t>Otros Cobros (US$ MM)</t>
  </si>
  <si>
    <t>Pérdidas (GWh)</t>
  </si>
  <si>
    <t>Pérdidas (%)</t>
  </si>
  <si>
    <t>Cobranzas (%)</t>
  </si>
  <si>
    <t>CRI (%)</t>
  </si>
  <si>
    <t>Indice de Recuperación de Energía (%)</t>
  </si>
  <si>
    <t>Precio Medio de Venta de Energía (USCents/kWh)</t>
  </si>
  <si>
    <t>Cobros Totales (MM RD$)</t>
  </si>
  <si>
    <t>SAIFI (Int)</t>
  </si>
  <si>
    <t>Abastecimiento o Satisfacción de la Demanda (%)</t>
  </si>
  <si>
    <t>Tasa de Cambio Banco Central (RD$/US$)</t>
  </si>
  <si>
    <t>Compra de Energía (GWh)</t>
  </si>
  <si>
    <t>Cantidad de Clientes Prepago que Transaron</t>
  </si>
  <si>
    <t>Cobros por Energía Sin Fianzas ni Reconexiones (US$ MM)</t>
  </si>
  <si>
    <t>Cobros por Energía Sin Fianzas ni Reconexiones (RD$ MM)</t>
  </si>
  <si>
    <t>Factura por Venta de Energía Sin Fianzas ni Reconexiones (US$ MM)</t>
  </si>
  <si>
    <t>Factura por Venta de Energía Sin Fianzas ni Reconexiones (RD$ MM)</t>
  </si>
  <si>
    <t>N/D</t>
  </si>
  <si>
    <t>Cantidad de Clientes Telemedidos</t>
  </si>
  <si>
    <t>Pérdidas - Año Móvil (%)</t>
  </si>
  <si>
    <t>Cobranzas - Año Móvil (%)</t>
  </si>
  <si>
    <t>CRI - Año Móvil (%)</t>
  </si>
  <si>
    <t>Indice de Recuperación de Energía - Año Móvil (%)</t>
  </si>
  <si>
    <t>SAIDI (hrs)</t>
  </si>
  <si>
    <t>Cantidad de Clientes</t>
  </si>
  <si>
    <t>Empleados Regulares</t>
  </si>
  <si>
    <t>Empleados en Trámite de Pensión</t>
  </si>
  <si>
    <t>Inidicadores</t>
  </si>
</sst>
</file>

<file path=xl/styles.xml><?xml version="1.0" encoding="utf-8"?>
<styleSheet xmlns="http://schemas.openxmlformats.org/spreadsheetml/2006/main">
  <numFmts count="5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[$-409]mmm\-yy;@"/>
    <numFmt numFmtId="181" formatCode="#,##0.0_);[Red]\(#,##0.0\)"/>
    <numFmt numFmtId="182" formatCode="0.0%;[Red]\(0.0%\)"/>
    <numFmt numFmtId="183" formatCode="_(* #,##0.0_);_(* \(#,##0.0\);_(* &quot;-&quot;??_);_(@_)"/>
    <numFmt numFmtId="184" formatCode="0.0%"/>
    <numFmt numFmtId="185" formatCode="%#,#00"/>
    <numFmt numFmtId="186" formatCode="_-* #,##0.00\ _R_D_$_-;\-* #,##0.00\ _R_D_$_-;_-* &quot;-&quot;??\ _R_D_$_-;_-@_-"/>
    <numFmt numFmtId="187" formatCode="0.00%;[Red]\(0.00%\)"/>
    <numFmt numFmtId="188" formatCode="#,##0.000000000000000000_);[Red]\(#,##0.000000000000000000\)"/>
    <numFmt numFmtId="189" formatCode="0.000%"/>
    <numFmt numFmtId="190" formatCode="0.0000%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;[Red]#,##0.0"/>
    <numFmt numFmtId="196" formatCode="#,##0.000\ _€;[Red]\-#,##0.000\ _€"/>
    <numFmt numFmtId="197" formatCode="[$-1C0A]dddd\,\ dd&quot; de &quot;mmmm&quot; de &quot;yyyy"/>
    <numFmt numFmtId="198" formatCode="[$-1C0A]hh:mm:ss\ AM/PM"/>
    <numFmt numFmtId="199" formatCode="_(* #,##0.000_);_(* \(#,##0.000\);_(* &quot;-&quot;??_);_(@_)"/>
    <numFmt numFmtId="200" formatCode="_(* #,##0_);_(* \(#,##0\);_(* &quot;-&quot;??_);_(@_)"/>
    <numFmt numFmtId="201" formatCode="#,##0.0\ _€;[Red]\-#,##0.0\ _€"/>
    <numFmt numFmtId="202" formatCode="#,##0.00\ _€;[Red]\-#,##0.00\ _€"/>
    <numFmt numFmtId="203" formatCode="#,##0.000_);[Red]\(#,##0.000\)"/>
    <numFmt numFmtId="204" formatCode="#,##0.000;[Red]\-#,##0.000"/>
    <numFmt numFmtId="205" formatCode="0.000%;[Red]\(0.000%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ahoma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8"/>
      <name val="Tahoma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1"/>
      <name val="Tahoma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80" fontId="4" fillId="0" borderId="0">
      <alignment vertical="top"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45" fillId="0" borderId="0" applyFont="0" applyFill="0" applyBorder="0" applyAlignment="0" applyProtection="0"/>
    <xf numFmtId="0" fontId="5" fillId="0" borderId="0">
      <alignment/>
      <protection locked="0"/>
    </xf>
    <xf numFmtId="185" fontId="5" fillId="0" borderId="0">
      <alignment/>
      <protection locked="0"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18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 indent="1"/>
      <protection hidden="1"/>
    </xf>
    <xf numFmtId="183" fontId="45" fillId="0" borderId="0" xfId="58" applyNumberFormat="1" applyFont="1" applyAlignment="1" applyProtection="1">
      <alignment horizont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17" fontId="53" fillId="33" borderId="0" xfId="0" applyNumberFormat="1" applyFont="1" applyFill="1" applyBorder="1" applyAlignment="1" applyProtection="1">
      <alignment horizontal="center" vertical="center"/>
      <protection hidden="1"/>
    </xf>
    <xf numFmtId="184" fontId="45" fillId="0" borderId="0" xfId="0" applyNumberFormat="1" applyFont="1" applyAlignment="1" applyProtection="1">
      <alignment horizontal="center"/>
      <protection hidden="1"/>
    </xf>
    <xf numFmtId="0" fontId="54" fillId="34" borderId="0" xfId="0" applyFont="1" applyFill="1" applyBorder="1" applyAlignment="1" applyProtection="1">
      <alignment horizontal="left" vertical="center" indent="1"/>
      <protection hidden="1"/>
    </xf>
    <xf numFmtId="43" fontId="45" fillId="0" borderId="0" xfId="58" applyNumberFormat="1" applyFont="1" applyAlignment="1" applyProtection="1">
      <alignment horizontal="center"/>
      <protection hidden="1"/>
    </xf>
    <xf numFmtId="4" fontId="45" fillId="0" borderId="0" xfId="0" applyNumberFormat="1" applyFont="1" applyAlignment="1" applyProtection="1">
      <alignment horizontal="center"/>
      <protection hidden="1"/>
    </xf>
    <xf numFmtId="184" fontId="45" fillId="0" borderId="0" xfId="88" applyNumberFormat="1" applyFont="1" applyFill="1" applyAlignment="1" applyProtection="1">
      <alignment horizontal="center"/>
      <protection hidden="1"/>
    </xf>
    <xf numFmtId="17" fontId="53" fillId="33" borderId="0" xfId="0" applyNumberFormat="1" applyFont="1" applyFill="1" applyBorder="1" applyAlignment="1" applyProtection="1">
      <alignment horizontal="center" vertical="center" wrapText="1"/>
      <protection hidden="1"/>
    </xf>
    <xf numFmtId="201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81" fontId="45" fillId="0" borderId="0" xfId="0" applyNumberFormat="1" applyFont="1" applyAlignment="1" applyProtection="1">
      <alignment horizontal="center"/>
      <protection hidden="1"/>
    </xf>
    <xf numFmtId="184" fontId="28" fillId="0" borderId="0" xfId="88" applyNumberFormat="1" applyFont="1" applyFill="1" applyBorder="1" applyAlignment="1" applyProtection="1">
      <alignment horizontal="left" vertical="center" indent="1"/>
      <protection hidden="1"/>
    </xf>
    <xf numFmtId="184" fontId="45" fillId="0" borderId="0" xfId="88" applyNumberFormat="1" applyFont="1" applyAlignment="1" applyProtection="1">
      <alignment horizontal="center"/>
      <protection hidden="1"/>
    </xf>
    <xf numFmtId="10" fontId="28" fillId="0" borderId="0" xfId="88" applyNumberFormat="1" applyFont="1" applyFill="1" applyBorder="1" applyAlignment="1" applyProtection="1">
      <alignment horizontal="left" vertical="center" indent="1"/>
      <protection hidden="1"/>
    </xf>
    <xf numFmtId="10" fontId="45" fillId="0" borderId="0" xfId="88" applyNumberFormat="1" applyFont="1" applyFill="1" applyAlignment="1" applyProtection="1">
      <alignment horizontal="center"/>
      <protection hidden="1"/>
    </xf>
    <xf numFmtId="10" fontId="45" fillId="0" borderId="0" xfId="88" applyNumberFormat="1" applyFont="1" applyAlignment="1" applyProtection="1">
      <alignment horizontal="center"/>
      <protection hidden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10 2" xfId="37"/>
    <cellStyle name="Comma 11" xfId="38"/>
    <cellStyle name="Comma 2" xfId="39"/>
    <cellStyle name="Comma 2 12 29" xfId="40"/>
    <cellStyle name="Comma 2 13" xfId="41"/>
    <cellStyle name="Comma 2 13 2" xfId="42"/>
    <cellStyle name="Comma 3" xfId="43"/>
    <cellStyle name="Comma 3 10" xfId="44"/>
    <cellStyle name="Comma 4 12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Incorrecto" xfId="57"/>
    <cellStyle name="Comma" xfId="58"/>
    <cellStyle name="Comma [0]" xfId="59"/>
    <cellStyle name="Millares 2" xfId="60"/>
    <cellStyle name="Millares 2 2" xfId="61"/>
    <cellStyle name="Currency" xfId="62"/>
    <cellStyle name="Currency [0]" xfId="63"/>
    <cellStyle name="Neutral" xfId="64"/>
    <cellStyle name="Normal 2" xfId="65"/>
    <cellStyle name="Normal 2 10" xfId="66"/>
    <cellStyle name="Normal 2 14 2" xfId="67"/>
    <cellStyle name="Normal 2 2" xfId="68"/>
    <cellStyle name="Normal 2 2 44" xfId="69"/>
    <cellStyle name="Normal 2 3 2" xfId="70"/>
    <cellStyle name="Normal 26 2" xfId="71"/>
    <cellStyle name="Normal 3" xfId="72"/>
    <cellStyle name="Normal 3 2" xfId="73"/>
    <cellStyle name="Normal 3 2 28" xfId="74"/>
    <cellStyle name="Normal 4" xfId="75"/>
    <cellStyle name="Normal 4 10" xfId="76"/>
    <cellStyle name="Normal 4 2" xfId="77"/>
    <cellStyle name="Normal 4 2 2" xfId="78"/>
    <cellStyle name="Normal 4 44" xfId="79"/>
    <cellStyle name="Normal 44" xfId="80"/>
    <cellStyle name="Normal 5" xfId="81"/>
    <cellStyle name="Normal 8" xfId="82"/>
    <cellStyle name="Notas" xfId="83"/>
    <cellStyle name="Percent 18" xfId="84"/>
    <cellStyle name="Percent 2" xfId="85"/>
    <cellStyle name="Percent 3" xfId="86"/>
    <cellStyle name="Percent 4" xfId="87"/>
    <cellStyle name="Percent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DATA\LC\DOM\Monetary\DRMONEY_curren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TEMP\My%20Documents\Moz\E-Final\BOP9703_stres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My%20Documents\LatinAmerica\Colombia\Reports%20Mission%20April%202000\Fiscal%20Tables\Fiscal%20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Jud-Ale\Users\jvicioso\Desktop\Informe%20Desempe&#241;o%20EDEs%2025.03.14%20as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DNCFP\Recursos\Proyrena\Anual\2002\Alt4_Proy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WINDOWS/TEMP/CRI-BOP-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DRAFTS\ST\RK\Requests\Christoph\debt%20restructuring%20comparison%20countries%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WINDOWS\TEMP\CRI-BOP-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CA\CRI\EXTERNAL\Output\CRI-BOP-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CA\CRI\Dbase\Dinput\CRI-INPUT-A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CA\CRI\EXTERNAL\Output\Other-2002\CRI-INPUT-ABOP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S1\BLZ\Reports\BLZRedTables6_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Jud-Ale\Users\sfigueroa\Documents\SFN\CDEEE\Informes%20de%20Desempe&#241;o\Indicadores%20Sector%20El&#233;ctrico%20(Nuevo).xlsm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Users\Cdeee\Informe%20Desempe&#241;o\Analisis%20Financiero%20Sector%20El&#233;ctrico.xlsm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Users\Cdeee\Informe%20Desempe&#241;o\Informe%20de%20Desempe&#241;o%20Mayo%202014%20-%20Anexo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E-UAD-05\Users\Cdeee\Informe%20Desempe&#241;o\Informe%20de%20Desempe&#241;o%20Junio%202014%20-%20Anexo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cto%20publico\PBSECQKaren%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PA\CHL\SECTORS\BOP\Bop0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ATA\ML\DOM\Macro\2002\DRSHA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Documents%20and%20Settings\mediciones.CDEEE\Desktop\Documents%20and%20Settings\CMena\Local%20Settings\Temporary%20Internet%20Files\OLK95\Factura%20Septiemb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WINDOWS\TEMP\GeoBop0900_BseLi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whd\DATA\US\ARM\REP\97ARMRED\TABLES\EDSSARMRE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Cable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  <sheetName val="Money_Table1"/>
      <sheetName val="Program_BCRD_Table1"/>
      <sheetName val="Program_Money_Table1"/>
      <sheetName val="Balance_sheets1"/>
      <sheetName val="Summary_Money_Table1"/>
      <sheetName val="A-II_51"/>
      <sheetName val="Money_Program1"/>
      <sheetName val="Cuasi_2005_historical1"/>
      <sheetName val="cuasifiscal_historical1"/>
      <sheetName val="cuasifiscal_projections1"/>
      <sheetName val="QF_Summary1"/>
      <sheetName val="OLD_QF_Summary_(2)1"/>
      <sheetName val="Financing_NFPS1"/>
      <sheetName val="Staff_Report_Money_Table1"/>
      <sheetName val="Monetary_aggregates1"/>
      <sheetName val="Table_Monetary_Aggregates1"/>
      <sheetName val="Small_Money_Table1"/>
      <sheetName val="older_year_Balance_sheets1"/>
      <sheetName val="RED_Table_251"/>
      <sheetName val="QF_small_table1"/>
      <sheetName val="Summary_Weekly1"/>
      <sheetName val="QF_Summary_wekly1"/>
      <sheetName val="QF_SBA_Oct_051"/>
      <sheetName val="Sheet1_(2)1"/>
      <sheetName val="Mon_Table_SBA_Oct_051"/>
      <sheetName val="PPM_BS1"/>
      <sheetName val="PPM_SMT1"/>
      <sheetName val="Money_Table2"/>
      <sheetName val="Program_BCRD_Table2"/>
      <sheetName val="Program_Money_Table2"/>
      <sheetName val="Balance_sheets2"/>
      <sheetName val="Summary_Money_Table2"/>
      <sheetName val="A-II_52"/>
      <sheetName val="Money_Program2"/>
      <sheetName val="Cuasi_2005_historical2"/>
      <sheetName val="cuasifiscal_historical2"/>
      <sheetName val="cuasifiscal_projections2"/>
      <sheetName val="QF_Summary2"/>
      <sheetName val="OLD_QF_Summary_(2)2"/>
      <sheetName val="Financing_NFPS2"/>
      <sheetName val="Staff_Report_Money_Table2"/>
      <sheetName val="Monetary_aggregates2"/>
      <sheetName val="Table_Monetary_Aggregates2"/>
      <sheetName val="Small_Money_Table2"/>
      <sheetName val="older_year_Balance_sheets2"/>
      <sheetName val="RED_Table_252"/>
      <sheetName val="QF_small_table2"/>
      <sheetName val="Summary_Weekly2"/>
      <sheetName val="QF_Summary_wekly2"/>
      <sheetName val="QF_SBA_Oct_052"/>
      <sheetName val="Sheet1_(2)2"/>
      <sheetName val="Mon_Table_SBA_Oct_052"/>
      <sheetName val="PPM_BS2"/>
      <sheetName val="PPM_SMT2"/>
      <sheetName val="Money_Table3"/>
      <sheetName val="Program_BCRD_Table3"/>
      <sheetName val="Program_Money_Table3"/>
      <sheetName val="Balance_sheets3"/>
      <sheetName val="Summary_Money_Table3"/>
      <sheetName val="A-II_53"/>
      <sheetName val="Money_Program3"/>
      <sheetName val="Cuasi_2005_historical3"/>
      <sheetName val="cuasifiscal_historical3"/>
      <sheetName val="cuasifiscal_projections3"/>
      <sheetName val="QF_Summary3"/>
      <sheetName val="OLD_QF_Summary_(2)3"/>
      <sheetName val="Financing_NFPS3"/>
      <sheetName val="Staff_Report_Money_Table3"/>
      <sheetName val="Monetary_aggregates3"/>
      <sheetName val="Table_Monetary_Aggregates3"/>
      <sheetName val="Small_Money_Table3"/>
      <sheetName val="older_year_Balance_sheets3"/>
      <sheetName val="RED_Table_253"/>
      <sheetName val="QF_small_table3"/>
      <sheetName val="Summary_Weekly3"/>
      <sheetName val="QF_Summary_wekly3"/>
      <sheetName val="QF_SBA_Oct_053"/>
      <sheetName val="Sheet1_(2)3"/>
      <sheetName val="Mon_Table_SBA_Oct_053"/>
      <sheetName val="PPM_BS3"/>
      <sheetName val="PPM_SMT3"/>
      <sheetName val="Money_Table4"/>
      <sheetName val="Program_BCRD_Table4"/>
      <sheetName val="Program_Money_Table4"/>
      <sheetName val="Balance_sheets4"/>
      <sheetName val="Summary_Money_Table4"/>
      <sheetName val="A-II_54"/>
      <sheetName val="Money_Program4"/>
      <sheetName val="Cuasi_2005_historical4"/>
      <sheetName val="cuasifiscal_historical4"/>
      <sheetName val="cuasifiscal_projections4"/>
      <sheetName val="QF_Summary4"/>
      <sheetName val="OLD_QF_Summary_(2)4"/>
      <sheetName val="Financing_NFPS4"/>
      <sheetName val="Staff_Report_Money_Table4"/>
      <sheetName val="Monetary_aggregates4"/>
      <sheetName val="Table_Monetary_Aggregates4"/>
      <sheetName val="Small_Money_Table4"/>
      <sheetName val="older_year_Balance_sheets4"/>
      <sheetName val="RED_Table_254"/>
      <sheetName val="QF_small_table4"/>
      <sheetName val="Summary_Weekly4"/>
      <sheetName val="QF_Summary_wekly4"/>
      <sheetName val="QF_SBA_Oct_054"/>
      <sheetName val="Sheet1_(2)4"/>
      <sheetName val="Mon_Table_SBA_Oct_054"/>
      <sheetName val="PPM_BS4"/>
      <sheetName val="PPM_SMT4"/>
      <sheetName val="Money_Table5"/>
      <sheetName val="Program_BCRD_Table5"/>
      <sheetName val="Program_Money_Table5"/>
      <sheetName val="Balance_sheets5"/>
      <sheetName val="Summary_Money_Table5"/>
      <sheetName val="A-II_55"/>
      <sheetName val="Money_Program5"/>
      <sheetName val="Cuasi_2005_historical5"/>
      <sheetName val="cuasifiscal_historical5"/>
      <sheetName val="cuasifiscal_projections5"/>
      <sheetName val="QF_Summary5"/>
      <sheetName val="OLD_QF_Summary_(2)5"/>
      <sheetName val="Financing_NFPS5"/>
      <sheetName val="Staff_Report_Money_Table5"/>
      <sheetName val="Monetary_aggregates5"/>
      <sheetName val="Table_Monetary_Aggregates5"/>
      <sheetName val="Small_Money_Table5"/>
      <sheetName val="older_year_Balance_sheets5"/>
      <sheetName val="RED_Table_255"/>
      <sheetName val="QF_small_table5"/>
      <sheetName val="Summary_Weekly5"/>
      <sheetName val="QF_Summary_wekly5"/>
      <sheetName val="QF_SBA_Oct_055"/>
      <sheetName val="Sheet1_(2)5"/>
      <sheetName val="Mon_Table_SBA_Oct_055"/>
      <sheetName val="PPM_BS5"/>
      <sheetName val="PPM_SMT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C_basef14_3p10_61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C_basef14_3p10_6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_basef14_3p10_63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C_basef14_3p10_64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C_basef14_3p10_65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C"/>
      <sheetName val="C Summary"/>
      <sheetName val="D %GDP"/>
      <sheetName val="InFis2"/>
      <sheetName val="C_Summary"/>
      <sheetName val="D_%GDP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_Summary1"/>
      <sheetName val="D_%GDP1"/>
      <sheetName val="C_Summary2"/>
      <sheetName val="D_%GDP2"/>
      <sheetName val="C_Summary3"/>
      <sheetName val="D_%GDP3"/>
      <sheetName val="C_Summary4"/>
      <sheetName val="D_%GDP4"/>
      <sheetName val="C_Summary5"/>
      <sheetName val="D_%GDP5"/>
      <sheetName val="Fiscal Tables"/>
      <sheetName val="Contents"/>
      <sheetName val="E"/>
      <sheetName val="W&amp;T"/>
      <sheetName val="Countries_Mast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uentes"/>
      <sheetName val="EDE´s"/>
      <sheetName val="Edenorte"/>
      <sheetName val="Edesur"/>
      <sheetName val="Edeeste"/>
      <sheetName val="Soportes"/>
    </sheetNames>
    <sheetDataSet>
      <sheetData sheetId="6">
        <row r="2">
          <cell r="M2" t="str">
            <v>Mes Actual</v>
          </cell>
        </row>
        <row r="3">
          <cell r="M3" t="str">
            <v>Mes Anterior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Fto__a_partir_del_impuesto1"/>
      <sheetName val="COP_FED1"/>
      <sheetName val="22_PCIAS1"/>
      <sheetName val="Tesoro_Nacional1"/>
      <sheetName val="Fondo_ATN1"/>
      <sheetName val="Coop__Eléct_1"/>
      <sheetName val="C_F_E_E_1"/>
      <sheetName val="Fto__a_partir_del_impuesto2"/>
      <sheetName val="COP_FED2"/>
      <sheetName val="22_PCIAS2"/>
      <sheetName val="Tesoro_Nacional2"/>
      <sheetName val="Fondo_ATN2"/>
      <sheetName val="Coop__Eléct_2"/>
      <sheetName val="C_F_E_E_2"/>
      <sheetName val="Fto__a_partir_del_impuesto3"/>
      <sheetName val="COP_FED3"/>
      <sheetName val="22_PCIAS3"/>
      <sheetName val="Tesoro_Nacional3"/>
      <sheetName val="Fondo_ATN3"/>
      <sheetName val="Coop__Eléct_3"/>
      <sheetName val="C_F_E_E_3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Fto__a_partir_del_impuesto4"/>
      <sheetName val="COP_FED4"/>
      <sheetName val="22_PCIAS4"/>
      <sheetName val="Tesoro_Nacional4"/>
      <sheetName val="Fondo_ATN4"/>
      <sheetName val="Coop__Eléct_4"/>
      <sheetName val="C_F_E_E_4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  <sheetName val="Fto__a_partir_del_impuesto5"/>
      <sheetName val="COP_FED5"/>
      <sheetName val="22_PCIAS5"/>
      <sheetName val="Tesoro_Nacional5"/>
      <sheetName val="Fondo_ATN5"/>
      <sheetName val="Coop__Eléct_5"/>
      <sheetName val="C_F_E_E_5"/>
      <sheetName val="Variables_Relevantes2"/>
      <sheetName val="INDICADORES_PREL__PORTAL2"/>
      <sheetName val="Anexo_Res_Financieros2"/>
      <sheetName val="Nuevos_Cargos_Tarifarios2"/>
      <sheetName val="Cargos_Tarifarios2"/>
      <sheetName val="BD-Var_MacroEconomicasMensual2"/>
      <sheetName val="BD-Var_MacroEconomicasTrimestr2"/>
      <sheetName val="BD-Var_MacroEconomicasAnual2"/>
      <sheetName val="BD-Form_InfoEDES2"/>
      <sheetName val="BD-Venta_Energía2"/>
      <sheetName val="BD-Transf__Gobierno_&amp;_Aportes2"/>
      <sheetName val="EDE's_Presupuestos2"/>
      <sheetName val="Inf__Desempeño_-_Tabla_Grafica2"/>
      <sheetName val="Inf__Desempeño_-_Graf_2"/>
      <sheetName val="Inf__Desempeño_-_Tablas_PPT2"/>
      <sheetName val="Ley_Presupuesto_20152"/>
      <sheetName val="Bono_Ley_175-122"/>
      <sheetName val="Black_Out_SENI2"/>
      <sheetName val="Resumen_Compra2"/>
      <sheetName val="BD-Inf_TCMensual2"/>
      <sheetName val="BD_Real_vs_Pres_2"/>
      <sheetName val="Presup__EDE´s2"/>
      <sheetName val="BD-Inf_Fact-Pagos2"/>
      <sheetName val="Graf_CF2"/>
      <sheetName val="Análisis_TC_BCRD_Diaria2"/>
      <sheetName val="Aporte_MH_vs__PIB2"/>
      <sheetName val="Glosario_de_Términos2"/>
    </sheetNames>
    <sheetDataSet>
      <sheetData sheetId="2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</v>
          </cell>
          <cell r="C20">
            <v>22169.7</v>
          </cell>
          <cell r="D20">
            <v>21583</v>
          </cell>
          <cell r="E20">
            <v>20451.1</v>
          </cell>
          <cell r="F20">
            <v>23380.4</v>
          </cell>
          <cell r="G20">
            <v>26402</v>
          </cell>
          <cell r="H20">
            <v>22323.6</v>
          </cell>
          <cell r="I20">
            <v>23171.5</v>
          </cell>
          <cell r="J20">
            <v>22718.1</v>
          </cell>
          <cell r="K20">
            <v>24178.8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</v>
          </cell>
          <cell r="D21">
            <v>69578.7</v>
          </cell>
          <cell r="E21">
            <v>65929.6</v>
          </cell>
          <cell r="F21">
            <v>75373.1</v>
          </cell>
          <cell r="G21">
            <v>85114</v>
          </cell>
          <cell r="H21">
            <v>71966.3</v>
          </cell>
          <cell r="I21">
            <v>74699.6</v>
          </cell>
          <cell r="J21">
            <v>73238.1</v>
          </cell>
          <cell r="K21">
            <v>77947.2</v>
          </cell>
          <cell r="L21">
            <v>80353.9</v>
          </cell>
          <cell r="M21">
            <v>80156.6</v>
          </cell>
          <cell r="N21">
            <v>906339.2</v>
          </cell>
        </row>
        <row r="22">
          <cell r="A22" t="str">
            <v>CORRIENTES</v>
          </cell>
          <cell r="B22">
            <v>33706.7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</v>
          </cell>
          <cell r="E23">
            <v>37040.7</v>
          </cell>
          <cell r="F23">
            <v>42346.3</v>
          </cell>
          <cell r="G23">
            <v>47818.9</v>
          </cell>
          <cell r="H23">
            <v>40432.3</v>
          </cell>
          <cell r="I23">
            <v>41967.9</v>
          </cell>
          <cell r="J23">
            <v>41146.8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</v>
          </cell>
          <cell r="C25">
            <v>39300.8</v>
          </cell>
          <cell r="D25">
            <v>38260.7</v>
          </cell>
          <cell r="E25">
            <v>36254.1</v>
          </cell>
          <cell r="F25">
            <v>41447</v>
          </cell>
          <cell r="G25">
            <v>46803.5</v>
          </cell>
          <cell r="H25">
            <v>39573.7</v>
          </cell>
          <cell r="I25">
            <v>41076.7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33008.2</v>
          </cell>
          <cell r="C26">
            <v>29301.2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27232.8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289989.1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16485.6</v>
          </cell>
          <cell r="L28">
            <v>16994.6</v>
          </cell>
          <cell r="M28">
            <v>16952.9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19847.6</v>
          </cell>
          <cell r="H29">
            <v>16781.7</v>
          </cell>
          <cell r="I29">
            <v>17419.1</v>
          </cell>
          <cell r="J29">
            <v>17078.3</v>
          </cell>
          <cell r="K29">
            <v>18176.4</v>
          </cell>
          <cell r="L29">
            <v>18737.6</v>
          </cell>
          <cell r="M29">
            <v>18691.6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35397.6</v>
          </cell>
          <cell r="G30">
            <v>39972.2</v>
          </cell>
          <cell r="H30">
            <v>33797.6</v>
          </cell>
          <cell r="I30">
            <v>35081.3</v>
          </cell>
          <cell r="J30">
            <v>34394.9</v>
          </cell>
          <cell r="K30">
            <v>36606.4</v>
          </cell>
          <cell r="L30">
            <v>37736.7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27789.6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16636.6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</v>
          </cell>
          <cell r="F33">
            <v>21418.4</v>
          </cell>
          <cell r="G33">
            <v>24186.4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36741.2</v>
          </cell>
          <cell r="H34">
            <v>31065.7</v>
          </cell>
          <cell r="I34">
            <v>32245.6</v>
          </cell>
          <cell r="J34">
            <v>31614.7</v>
          </cell>
          <cell r="K34">
            <v>33647.5</v>
          </cell>
          <cell r="L34">
            <v>34686.4</v>
          </cell>
          <cell r="M34">
            <v>34601.2</v>
          </cell>
          <cell r="N34">
            <v>391239.60000000003</v>
          </cell>
        </row>
        <row r="35">
          <cell r="A35" t="str">
            <v>SAN JUAN</v>
          </cell>
          <cell r="B35">
            <v>30650.4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</v>
          </cell>
          <cell r="H35">
            <v>27397.2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</v>
          </cell>
          <cell r="N35">
            <v>345038</v>
          </cell>
        </row>
        <row r="36">
          <cell r="A36" t="str">
            <v>SAN LUIS</v>
          </cell>
          <cell r="B36">
            <v>20695.6</v>
          </cell>
          <cell r="C36">
            <v>18371.4</v>
          </cell>
          <cell r="D36">
            <v>17885.2</v>
          </cell>
          <cell r="E36">
            <v>16947.2</v>
          </cell>
          <cell r="F36">
            <v>19374.6</v>
          </cell>
          <cell r="G36">
            <v>21878.6</v>
          </cell>
          <cell r="H36">
            <v>18498.9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81035.9</v>
          </cell>
          <cell r="C38">
            <v>71935.2</v>
          </cell>
          <cell r="D38">
            <v>70031.4</v>
          </cell>
          <cell r="E38">
            <v>66358.7</v>
          </cell>
          <cell r="F38">
            <v>75863.6</v>
          </cell>
          <cell r="G38">
            <v>85667.9</v>
          </cell>
          <cell r="H38">
            <v>72434.6</v>
          </cell>
          <cell r="I38">
            <v>75185.7</v>
          </cell>
          <cell r="J38">
            <v>73714.7</v>
          </cell>
          <cell r="K38">
            <v>78454.4</v>
          </cell>
          <cell r="L38">
            <v>80876.8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37461.6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34757.2</v>
          </cell>
          <cell r="J39">
            <v>34077.2</v>
          </cell>
          <cell r="K39">
            <v>36268.3</v>
          </cell>
          <cell r="L39">
            <v>37388.1</v>
          </cell>
          <cell r="M39">
            <v>37296.3</v>
          </cell>
          <cell r="N39">
            <v>421713.19999999995</v>
          </cell>
        </row>
        <row r="40">
          <cell r="A40" t="str">
            <v>TUCUMAN</v>
          </cell>
          <cell r="B40">
            <v>43137.6</v>
          </cell>
          <cell r="C40">
            <v>38293.1</v>
          </cell>
          <cell r="D40">
            <v>37279.7</v>
          </cell>
          <cell r="E40">
            <v>35324.6</v>
          </cell>
          <cell r="F40">
            <v>40384.3</v>
          </cell>
          <cell r="G40">
            <v>45603.4</v>
          </cell>
          <cell r="H40">
            <v>38559</v>
          </cell>
          <cell r="I40">
            <v>40023.4</v>
          </cell>
          <cell r="J40">
            <v>39240.4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</v>
          </cell>
          <cell r="D41">
            <v>782261.8999999999</v>
          </cell>
          <cell r="E41">
            <v>741236.3999999998</v>
          </cell>
          <cell r="F41">
            <v>847407.5999999999</v>
          </cell>
          <cell r="G41">
            <v>956923.2000000001</v>
          </cell>
          <cell r="H41">
            <v>809105.6999999998</v>
          </cell>
          <cell r="I41">
            <v>839835.7999999999</v>
          </cell>
          <cell r="J41">
            <v>823404.1000000001</v>
          </cell>
          <cell r="K41">
            <v>876347.6000000001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813787.9999999999</v>
          </cell>
          <cell r="D43">
            <v>792260.3999999999</v>
          </cell>
          <cell r="E43">
            <v>750727.9999999998</v>
          </cell>
          <cell r="F43">
            <v>858210.8999999999</v>
          </cell>
          <cell r="G43">
            <v>969079.5000000001</v>
          </cell>
          <cell r="H43">
            <v>819435.7999999998</v>
          </cell>
          <cell r="I43">
            <v>850545.6</v>
          </cell>
          <cell r="J43">
            <v>833910.9000000001</v>
          </cell>
          <cell r="K43">
            <v>887508.5000000001</v>
          </cell>
          <cell r="L43">
            <v>914901.7</v>
          </cell>
          <cell r="M43">
            <v>912656</v>
          </cell>
          <cell r="N43">
            <v>10319725.2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17881.6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17811.1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RGDP_data3"/>
      <sheetName val="CA_data_(exact_quarters)3"/>
      <sheetName val="CA_data3"/>
      <sheetName val="K_data3"/>
      <sheetName val="Ex_Rate_Daily3"/>
      <sheetName val="RealInterest_(Country)_(other)3"/>
      <sheetName val="RealInterest_(Country)_(Defaul3"/>
      <sheetName val="RealInterest_(Country)3"/>
      <sheetName val="RealInterest_(avg)3"/>
      <sheetName val="RGDP_(country)_(%Seas)3"/>
      <sheetName val="RGDP_(avg)_(%Seas)3"/>
      <sheetName val="RGDP_(country)3"/>
      <sheetName val="RGDP_(average)3"/>
      <sheetName val="CA_(avg)_(%GDP)_(newQ)_(adj)3"/>
      <sheetName val="CA_(%_of_GDP)_(newQ)_(MAvg)3"/>
      <sheetName val="CA_(avg)_(%GDP)_(newQ)_Mavg3"/>
      <sheetName val="CA_(avg)_(change%GDP)_(newQ)3"/>
      <sheetName val="CA_(%_of_GDP)_(newQ)3"/>
      <sheetName val="CA_(avg)_(%GDP)_(newQ)3"/>
      <sheetName val="CA_(avg)_(change%GDP)3"/>
      <sheetName val="CA_(change%_of_GDP)3"/>
      <sheetName val="CA_(avg)_(%GDP)3"/>
      <sheetName val="CA_(%_of_GDP)3"/>
      <sheetName val="K_Liab_(avg)3"/>
      <sheetName val="K_Liab_(country)3"/>
      <sheetName val="K_Liab_less_FDI_(country)3"/>
      <sheetName val="K_Liab_less_FDI_(avg)3"/>
      <sheetName val="Primary_Balance_(avg)3"/>
      <sheetName val="Interest_(%_of_GDP)3"/>
      <sheetName val="Interest_(avg)_(%GDP)3"/>
      <sheetName val="Interest_(Change%GDP)3"/>
      <sheetName val="Interest_(avg)_(Change%GDP)3"/>
      <sheetName val="PrimBal_(Change%GDP)3"/>
      <sheetName val="PrimBal_(avg)_(Change%GDP)3"/>
      <sheetName val="PrimBal_(%_of_GDP)3"/>
      <sheetName val="PrimBal_(avg)_(%GDP)3"/>
      <sheetName val="PrimBal_(avg)3"/>
      <sheetName val="NomExRate_Daily_Default3"/>
      <sheetName val="NomExRate_Daily3"/>
      <sheetName val="Ex_rate_bloom3"/>
      <sheetName val="REER_(avg)3"/>
      <sheetName val="NomExRate_(avg)3"/>
      <sheetName val="Inflation_(avg)3"/>
      <sheetName val="New_Data3"/>
      <sheetName val="ex_rate3"/>
      <sheetName val="Int_Reserves3"/>
      <sheetName val="Int_Reserves_(scale_t-24)3"/>
      <sheetName val="Int_Reserves_(scale_t)3"/>
      <sheetName val="Int_Reserves_(scale_t)_res_onl3"/>
      <sheetName val="Int_Reserves_(scale_t)_(%gdp)3"/>
      <sheetName val="Int_Reserves_scale_t_%gdp_rest3"/>
      <sheetName val="Int_Reserves_(scale_t)_(avg)3"/>
      <sheetName val="Int_Reserves_(scale_t)_(avg_gd3"/>
      <sheetName val="Deposits_(scale_t)_(avg_(2)3"/>
      <sheetName val="Deposits_(scale_t)3"/>
      <sheetName val="Int_Reserves_USD3"/>
      <sheetName val="RGDP_data4"/>
      <sheetName val="CA_data_(exact_quarters)4"/>
      <sheetName val="CA_data4"/>
      <sheetName val="K_data4"/>
      <sheetName val="Ex_Rate_Daily4"/>
      <sheetName val="RealInterest_(Country)_(other)4"/>
    </sheetNames>
    <sheetDataSet>
      <sheetData sheetId="47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  <sheetName val="Sheet4"/>
      <sheetName val="Q4"/>
      <sheetName val="DA"/>
      <sheetName val="RED-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5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Basic_Data_1"/>
      <sheetName val="Basic_Data_2"/>
      <sheetName val="Basic_Data_3"/>
      <sheetName val="Basic_Data_4"/>
      <sheetName val="Basic_Data_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  <sheetName val="Evo. FC EDE's"/>
      <sheetName val="Evo. RF EDE's"/>
      <sheetName val="Relacion Pagos GenCo's"/>
      <sheetName val="Gráficas y Tablas Presentacion"/>
      <sheetName val="Anexo Deuda Feb14"/>
      <sheetName val="Anexo Deuda Dic13"/>
      <sheetName val="Anexo Deuda Nov13"/>
      <sheetName val="Anexo Nuevo Formato Tarifas"/>
      <sheetName val="Proy. Rehab. Redes"/>
      <sheetName val="Pagos a GenCo's"/>
      <sheetName val="Evolución_Flujo_de_Caja_EDE's"/>
      <sheetName val="Resumen_CF_EDE's_(2)"/>
      <sheetName val="Evolución_Res_Financieros"/>
      <sheetName val="Control_de_Variables"/>
      <sheetName val="FMI_-_Tabla_8_(Consolidado)"/>
      <sheetName val="Evolución_Tabla8"/>
      <sheetName val="Anexo_Res_Financieros"/>
      <sheetName val="Res_Financieros_General"/>
      <sheetName val="Informe_Opex"/>
      <sheetName val="Informe_Var_Eco_"/>
      <sheetName val="Resumen_Tabla_8"/>
      <sheetName val="Resumen_Res__Financiero"/>
      <sheetName val="Resumen_CF_EDE's"/>
      <sheetName val="Resumen_CF_Ede's_&amp;_Cdeee"/>
      <sheetName val="Anexo_Deuda_Feb-12"/>
      <sheetName val="Anexo_Deuda_Mar-12"/>
      <sheetName val="Anexo_Deuda_Abr-12"/>
      <sheetName val="Anexo_Deuda_Oct-12"/>
      <sheetName val="Anexo_Deuda_Ene-12"/>
      <sheetName val="Anexo_Deuda_May-12"/>
      <sheetName val="Anexo_Deuda_Jun-12"/>
      <sheetName val="Anexo_Deuda_Jul-12"/>
      <sheetName val="Anexo_Deuda_Nov-12"/>
      <sheetName val="Anexo_Deuda_Dic-12"/>
      <sheetName val="Anexo_Deuda_Feb-13"/>
      <sheetName val="Anexo_Deuda_Abr13"/>
      <sheetName val="Anexo_Deuda_May13"/>
      <sheetName val="Anexo_Deuda_Jun13"/>
      <sheetName val="Anexo_Deuda_Oct13"/>
      <sheetName val="Anexo_Deuda_Sep13"/>
      <sheetName val="Anexo_Deuda_Ago13"/>
      <sheetName val="Anexo_Deuda_Jul13"/>
      <sheetName val="Anexo_Tarifas"/>
      <sheetName val="Para_Indicadores"/>
      <sheetName val="Variables_Relevantes"/>
      <sheetName val="CF_EDENORTE"/>
      <sheetName val="CF_EDESUR"/>
      <sheetName val="CF_EDEESTE"/>
      <sheetName val="CF_CDEEE"/>
      <sheetName val="CF_EGEHID"/>
      <sheetName val="CF_ETED"/>
      <sheetName val="Aportes,_Prest__&amp;_Refidomsa"/>
      <sheetName val="Stock_Deudas"/>
      <sheetName val="Fact__y_Pagos_GenCo's"/>
      <sheetName val="Pagos_GenCo's_x_fuentes"/>
      <sheetName val="Interés_EDE's"/>
      <sheetName val="Interés_Deudas"/>
      <sheetName val="Inversiones_-_Proyectos"/>
      <sheetName val="Rehab_Redes"/>
      <sheetName val="Inversiones_-_Proyectos_(2)"/>
      <sheetName val="Resumen_Banco"/>
      <sheetName val="Tasa_de_Cambio"/>
      <sheetName val="Datos_Informe-Opex"/>
      <sheetName val="Base_de_Datos-Opex"/>
      <sheetName val="Comp-Vta_Energía_CDEEE"/>
      <sheetName val="Gen_y_Fact_Energía_EGEHID"/>
      <sheetName val="LAESA_y_GSF"/>
      <sheetName val="Desembolsos_Inversiones"/>
      <sheetName val="Proyecto_Presupuesto_2013"/>
      <sheetName val="Proyecto_Presupuesto_2014"/>
      <sheetName val="Presupuesto_2013vs2014_"/>
      <sheetName val="Bono_Ley_175-12"/>
      <sheetName val="Dist__Factoring_Dic_2012"/>
      <sheetName val="Dist__Prest__Sindicado_2013"/>
      <sheetName val="Desglose_Inversión_EGEHID"/>
      <sheetName val="Informe_Desempeño_-_Gráficas"/>
      <sheetName val="Inf__Desempeño_-_Tabla_Graficas"/>
      <sheetName val="Inf__Desempeño_-_Tablas_PPT"/>
      <sheetName val="Evolución_Combus-CPI-TasaCambio"/>
      <sheetName val="Gráficas_Mensuales"/>
      <sheetName val="Gráficas_Comparativo_Años"/>
      <sheetName val="Gráficas_Período"/>
      <sheetName val="Gráficas_Anuales"/>
      <sheetName val="Sheet2_(2)"/>
      <sheetName val="Evo__FC_EDE's"/>
      <sheetName val="Evo__RF_EDE's"/>
      <sheetName val="Relacion_Pagos_GenCo's"/>
      <sheetName val="Gráficas_y_Tablas_Presentacion"/>
      <sheetName val="Anexo_Deuda_Feb14"/>
      <sheetName val="Anexo_Deuda_Dic13"/>
      <sheetName val="Anexo_Deuda_Nov13"/>
      <sheetName val="Anexo_Nuevo_Formato_Tarifas"/>
      <sheetName val="Proy__Rehab__Redes"/>
      <sheetName val="Pagos_a_GenCo's"/>
      <sheetName val="Evolución_Flujo_de_Caja_EDE's1"/>
      <sheetName val="Resumen_CF_EDE's_(2)1"/>
      <sheetName val="Evolución_Res_Financieros1"/>
      <sheetName val="Control_de_Variables1"/>
      <sheetName val="FMI_-_Tabla_8_(Consolidado)1"/>
      <sheetName val="Evolución_Tabla81"/>
      <sheetName val="Anexo_Res_Financieros1"/>
      <sheetName val="Res_Financieros_General1"/>
      <sheetName val="Informe_Opex1"/>
      <sheetName val="Informe_Var_Eco_1"/>
      <sheetName val="Resumen_Tabla_81"/>
      <sheetName val="Resumen_Res__Financiero1"/>
      <sheetName val="Resumen_CF_EDE's1"/>
      <sheetName val="Resumen_CF_Ede's_&amp;_Cdeee1"/>
      <sheetName val="Anexo_Deuda_Feb-121"/>
      <sheetName val="Anexo_Deuda_Mar-121"/>
      <sheetName val="Anexo_Deuda_Abr-121"/>
      <sheetName val="Anexo_Deuda_Oct-121"/>
      <sheetName val="Anexo_Deuda_Ene-121"/>
      <sheetName val="Anexo_Deuda_May-121"/>
      <sheetName val="Anexo_Deuda_Jun-121"/>
      <sheetName val="Anexo_Deuda_Jul-121"/>
      <sheetName val="Anexo_Deuda_Nov-121"/>
      <sheetName val="Anexo_Deuda_Dic-121"/>
      <sheetName val="Anexo_Deuda_Feb-131"/>
      <sheetName val="Anexo_Deuda_Abr131"/>
      <sheetName val="Anexo_Deuda_May131"/>
      <sheetName val="Anexo_Deuda_Jun131"/>
      <sheetName val="Anexo_Deuda_Oct131"/>
      <sheetName val="Anexo_Deuda_Sep131"/>
      <sheetName val="Anexo_Deuda_Ago131"/>
      <sheetName val="Anexo_Deuda_Jul131"/>
      <sheetName val="Anexo_Tarifas1"/>
      <sheetName val="Para_Indicadores1"/>
      <sheetName val="Variables_Relevantes1"/>
      <sheetName val="CF_EDENORTE1"/>
      <sheetName val="CF_EDESUR1"/>
      <sheetName val="CF_EDEESTE1"/>
      <sheetName val="CF_CDEEE1"/>
      <sheetName val="CF_EGEHID1"/>
      <sheetName val="CF_ETED1"/>
      <sheetName val="Aportes,_Prest__&amp;_Refidomsa1"/>
      <sheetName val="Stock_Deudas1"/>
      <sheetName val="Fact__y_Pagos_GenCo's1"/>
      <sheetName val="Pagos_GenCo's_x_fuentes1"/>
      <sheetName val="Interés_EDE's1"/>
      <sheetName val="Interés_Deudas1"/>
      <sheetName val="Inversiones_-_Proyectos1"/>
      <sheetName val="Rehab_Redes1"/>
      <sheetName val="Inversiones_-_Proyectos_(2)1"/>
      <sheetName val="Resumen_Banco1"/>
      <sheetName val="Tasa_de_Cambio1"/>
      <sheetName val="Datos_Informe-Opex1"/>
      <sheetName val="Base_de_Datos-Opex1"/>
      <sheetName val="Comp-Vta_Energía_CDEEE1"/>
      <sheetName val="Gen_y_Fact_Energía_EGEHID1"/>
      <sheetName val="LAESA_y_GSF1"/>
      <sheetName val="Desembolsos_Inversiones1"/>
      <sheetName val="Proyecto_Presupuesto_20131"/>
      <sheetName val="Proyecto_Presupuesto_20141"/>
      <sheetName val="Presupuesto_2013vs2014_1"/>
      <sheetName val="Bono_Ley_175-121"/>
      <sheetName val="Dist__Factoring_Dic_20121"/>
      <sheetName val="Dist__Prest__Sindicado_20131"/>
      <sheetName val="Desglose_Inversión_EGEHID1"/>
      <sheetName val="Informe_Desempeño_-_Gráficas1"/>
      <sheetName val="Inf__Desempeño_-_Tabla_Grafica1"/>
      <sheetName val="Inf__Desempeño_-_Tablas_PPT1"/>
      <sheetName val="Evolución_Combus-CPI-TasaCambi1"/>
      <sheetName val="Gráficas_Mensuales1"/>
      <sheetName val="Gráficas_Comparativo_Años1"/>
      <sheetName val="Gráficas_Período1"/>
      <sheetName val="Gráficas_Anuales1"/>
      <sheetName val="Sheet2_(2)1"/>
      <sheetName val="Evo__FC_EDE's1"/>
      <sheetName val="Evo__RF_EDE's1"/>
      <sheetName val="Relacion_Pagos_GenCo's1"/>
      <sheetName val="Gráficas_y_Tablas_Presentacion1"/>
      <sheetName val="Anexo_Deuda_Feb141"/>
      <sheetName val="Anexo_Deuda_Dic131"/>
      <sheetName val="Anexo_Deuda_Nov131"/>
      <sheetName val="Anexo_Nuevo_Formato_Tarifas1"/>
      <sheetName val="Proy__Rehab__Redes1"/>
      <sheetName val="Pagos_a_GenCo's1"/>
    </sheetNames>
    <sheetDataSet>
      <sheetData sheetId="92">
        <row r="3">
          <cell r="B3" t="str">
            <v>On</v>
          </cell>
          <cell r="C3" t="str">
            <v>Preliminar</v>
          </cell>
        </row>
        <row r="4">
          <cell r="B4" t="str">
            <v>Off</v>
          </cell>
          <cell r="C4" t="str">
            <v>Definitivo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_Var_Macro"/>
      <sheetName val="Inf_Pagos_GenCo's"/>
      <sheetName val="Deuda"/>
      <sheetName val="Facturación"/>
      <sheetName val="FMI_Tabla_8"/>
      <sheetName val="Evo_Res_Consolidado"/>
      <sheetName val="Evo_RF_EDE's"/>
      <sheetName val="Evo_RF-CdeeeHidroEted"/>
      <sheetName val="BD-CompraEnergía(Comercial)"/>
      <sheetName val="BD-Transf. Gobierno &amp; Aportes"/>
      <sheetName val="BD-Financing"/>
      <sheetName val="Evo_FC_EDE's"/>
      <sheetName val="Evo_FC_CdeeeHidroEted"/>
      <sheetName val="RF_Real_vs_Presupuesto"/>
      <sheetName val="BD-SFN"/>
      <sheetName val="SFN-No borrar"/>
      <sheetName val="Variables Relevantes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Análisis Aportes MH"/>
      <sheetName val="Análisis Tasa de Cambio"/>
      <sheetName val="Análisis TC BCRD Diaria"/>
      <sheetName val="TC Mensual (Email) "/>
      <sheetName val="Eventos"/>
      <sheetName val="Análisis Telemedición"/>
      <sheetName val="BD-GrafTeleMed"/>
      <sheetName val="Evolutivos Gráficos"/>
      <sheetName val="BD-Graf.Evo.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GenCo's(Financiero)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Inf_Fact_vs_Pagos_GenCo's"/>
      <sheetName val="BD-Inf.Fact-Pagos"/>
      <sheetName val="Waterfall"/>
      <sheetName val="Graf CF"/>
      <sheetName val="Aporte MH vs. PIB"/>
      <sheetName val="Glosario de Términos"/>
      <sheetName val="Comerciales"/>
      <sheetName val="BD-Transf__Gobierno_&amp;_Aportes"/>
      <sheetName val="SFN-No_borrar"/>
      <sheetName val="Variables_Relevantes"/>
      <sheetName val="Anexo_Res_Financieros"/>
      <sheetName val="Nuevos_Cargos_Tarifarios"/>
      <sheetName val="Cargos_Tarifarios"/>
      <sheetName val="Análisis_Aportes_MH"/>
      <sheetName val="Análisis_Tasa_de_Cambio"/>
      <sheetName val="Análisis_TC_BCRD_Diaria"/>
      <sheetName val="TC_Mensual_(Email)_"/>
      <sheetName val="Análisis_Telemedición"/>
      <sheetName val="Evolutivos_Gráficos"/>
      <sheetName val="BD-Graf_Evo_"/>
      <sheetName val="BD-Var_MacroEconomicasMensual"/>
      <sheetName val="BD-Var_MacroEconomicasTrimestre"/>
      <sheetName val="BD-Var_MacroEconomicasAnual"/>
      <sheetName val="BD-Form_InfoEDES"/>
      <sheetName val="BD-Venta_Energía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porte_MH_vs__PIB"/>
      <sheetName val="Glosario_de_Términos"/>
      <sheetName val="BD-Transf__Gobierno_&amp;_Aportes1"/>
      <sheetName val="SFN-No_borrar1"/>
      <sheetName val="Variables_Relevantes1"/>
      <sheetName val="Anexo_Res_Financieros1"/>
      <sheetName val="Nuevos_Cargos_Tarifarios1"/>
      <sheetName val="Cargos_Tarifarios1"/>
      <sheetName val="Análisis_Aportes_MH1"/>
      <sheetName val="Análisis_Tasa_de_Cambio1"/>
      <sheetName val="Análisis_TC_BCRD_Diaria1"/>
      <sheetName val="TC_Mensual_(Email)_1"/>
      <sheetName val="Análisis_Telemedición1"/>
      <sheetName val="Evolutivos_Gráficos1"/>
      <sheetName val="BD-Graf_Evo_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porte_MH_vs__PIB1"/>
      <sheetName val="Glosario_de_Términos1"/>
    </sheetNames>
    <sheetDataSet>
      <sheetData sheetId="57">
        <row r="3">
          <cell r="D3">
            <v>1</v>
          </cell>
          <cell r="G3">
            <v>36526</v>
          </cell>
        </row>
        <row r="4">
          <cell r="D4">
            <v>2</v>
          </cell>
          <cell r="G4">
            <v>36557</v>
          </cell>
        </row>
        <row r="5">
          <cell r="D5">
            <v>3</v>
          </cell>
          <cell r="G5">
            <v>36586</v>
          </cell>
        </row>
        <row r="6">
          <cell r="D6">
            <v>4</v>
          </cell>
          <cell r="G6">
            <v>36617</v>
          </cell>
        </row>
        <row r="7">
          <cell r="D7">
            <v>5</v>
          </cell>
          <cell r="G7">
            <v>36647</v>
          </cell>
        </row>
        <row r="8">
          <cell r="D8">
            <v>6</v>
          </cell>
          <cell r="G8">
            <v>36678</v>
          </cell>
        </row>
        <row r="9">
          <cell r="D9">
            <v>7</v>
          </cell>
          <cell r="G9">
            <v>36708</v>
          </cell>
        </row>
        <row r="10">
          <cell r="D10">
            <v>8</v>
          </cell>
          <cell r="G10">
            <v>36739</v>
          </cell>
        </row>
        <row r="11">
          <cell r="D11">
            <v>9</v>
          </cell>
          <cell r="G11">
            <v>36770</v>
          </cell>
        </row>
        <row r="12">
          <cell r="D12">
            <v>10</v>
          </cell>
          <cell r="G12">
            <v>36800</v>
          </cell>
        </row>
        <row r="13">
          <cell r="D13">
            <v>11</v>
          </cell>
          <cell r="G13">
            <v>36831</v>
          </cell>
        </row>
        <row r="14">
          <cell r="D14">
            <v>12</v>
          </cell>
          <cell r="G14">
            <v>36861</v>
          </cell>
        </row>
        <row r="15">
          <cell r="G15">
            <v>36892</v>
          </cell>
        </row>
        <row r="16">
          <cell r="G16">
            <v>36923</v>
          </cell>
        </row>
        <row r="17">
          <cell r="G17">
            <v>36951</v>
          </cell>
        </row>
        <row r="18">
          <cell r="G18">
            <v>36982</v>
          </cell>
        </row>
        <row r="19">
          <cell r="G19">
            <v>37012</v>
          </cell>
        </row>
        <row r="20">
          <cell r="G20">
            <v>37043</v>
          </cell>
        </row>
        <row r="21">
          <cell r="G21">
            <v>37073</v>
          </cell>
        </row>
        <row r="22">
          <cell r="G22">
            <v>37104</v>
          </cell>
        </row>
        <row r="23">
          <cell r="G23">
            <v>37135</v>
          </cell>
        </row>
        <row r="24">
          <cell r="G24">
            <v>37165</v>
          </cell>
        </row>
        <row r="25">
          <cell r="G25">
            <v>37196</v>
          </cell>
        </row>
        <row r="26">
          <cell r="G26">
            <v>37226</v>
          </cell>
        </row>
        <row r="27">
          <cell r="G27">
            <v>37257</v>
          </cell>
        </row>
        <row r="28">
          <cell r="G28">
            <v>37288</v>
          </cell>
        </row>
        <row r="29">
          <cell r="G29">
            <v>37316</v>
          </cell>
        </row>
        <row r="30">
          <cell r="G30">
            <v>37347</v>
          </cell>
        </row>
        <row r="31">
          <cell r="G31">
            <v>37377</v>
          </cell>
        </row>
        <row r="32">
          <cell r="G32">
            <v>37408</v>
          </cell>
        </row>
        <row r="33">
          <cell r="G33">
            <v>37438</v>
          </cell>
        </row>
        <row r="34">
          <cell r="G34">
            <v>37469</v>
          </cell>
        </row>
        <row r="35">
          <cell r="G35">
            <v>37500</v>
          </cell>
        </row>
        <row r="36">
          <cell r="G36">
            <v>37530</v>
          </cell>
        </row>
        <row r="37">
          <cell r="G37">
            <v>37561</v>
          </cell>
        </row>
        <row r="38">
          <cell r="G38">
            <v>37591</v>
          </cell>
        </row>
        <row r="39">
          <cell r="G39">
            <v>37622</v>
          </cell>
        </row>
        <row r="40">
          <cell r="G40">
            <v>37653</v>
          </cell>
        </row>
        <row r="41">
          <cell r="G41">
            <v>37681</v>
          </cell>
        </row>
        <row r="42">
          <cell r="G42">
            <v>37712</v>
          </cell>
        </row>
        <row r="43">
          <cell r="G43">
            <v>37742</v>
          </cell>
        </row>
        <row r="44">
          <cell r="G44">
            <v>37773</v>
          </cell>
        </row>
        <row r="45">
          <cell r="G45">
            <v>37803</v>
          </cell>
        </row>
        <row r="46">
          <cell r="G46">
            <v>37834</v>
          </cell>
        </row>
        <row r="47">
          <cell r="G47">
            <v>37865</v>
          </cell>
        </row>
        <row r="48">
          <cell r="G48">
            <v>37895</v>
          </cell>
        </row>
        <row r="49">
          <cell r="G49">
            <v>37926</v>
          </cell>
        </row>
        <row r="50">
          <cell r="G50">
            <v>37956</v>
          </cell>
        </row>
        <row r="51">
          <cell r="G51">
            <v>37987</v>
          </cell>
        </row>
        <row r="52">
          <cell r="G52">
            <v>38018</v>
          </cell>
        </row>
        <row r="53">
          <cell r="G53">
            <v>38047</v>
          </cell>
        </row>
        <row r="54">
          <cell r="G54">
            <v>38078</v>
          </cell>
        </row>
        <row r="55">
          <cell r="G55">
            <v>38108</v>
          </cell>
        </row>
        <row r="56">
          <cell r="G56">
            <v>38139</v>
          </cell>
        </row>
        <row r="57">
          <cell r="G57">
            <v>38169</v>
          </cell>
        </row>
        <row r="58">
          <cell r="G58">
            <v>38200</v>
          </cell>
        </row>
        <row r="59">
          <cell r="G59">
            <v>38231</v>
          </cell>
        </row>
        <row r="60">
          <cell r="G60">
            <v>38261</v>
          </cell>
        </row>
        <row r="61">
          <cell r="G61">
            <v>38292</v>
          </cell>
        </row>
        <row r="62">
          <cell r="G62">
            <v>38322</v>
          </cell>
        </row>
        <row r="63">
          <cell r="G63">
            <v>38353</v>
          </cell>
        </row>
        <row r="64">
          <cell r="G64">
            <v>38384</v>
          </cell>
        </row>
        <row r="65">
          <cell r="G65">
            <v>38412</v>
          </cell>
        </row>
        <row r="66">
          <cell r="G66">
            <v>38443</v>
          </cell>
        </row>
        <row r="67">
          <cell r="G67">
            <v>38473</v>
          </cell>
        </row>
        <row r="68">
          <cell r="G68">
            <v>38504</v>
          </cell>
        </row>
        <row r="69">
          <cell r="G69">
            <v>38534</v>
          </cell>
        </row>
        <row r="70">
          <cell r="G70">
            <v>38565</v>
          </cell>
        </row>
        <row r="71">
          <cell r="G71">
            <v>38596</v>
          </cell>
        </row>
        <row r="72">
          <cell r="G72">
            <v>38626</v>
          </cell>
        </row>
        <row r="73">
          <cell r="G73">
            <v>38657</v>
          </cell>
        </row>
        <row r="74">
          <cell r="G74">
            <v>38687</v>
          </cell>
        </row>
        <row r="75">
          <cell r="G75">
            <v>38718</v>
          </cell>
        </row>
        <row r="76">
          <cell r="G76">
            <v>38749</v>
          </cell>
        </row>
        <row r="77">
          <cell r="G77">
            <v>38777</v>
          </cell>
        </row>
        <row r="78">
          <cell r="G78">
            <v>38808</v>
          </cell>
        </row>
        <row r="79">
          <cell r="G79">
            <v>38838</v>
          </cell>
        </row>
        <row r="80">
          <cell r="G80">
            <v>38869</v>
          </cell>
        </row>
        <row r="81">
          <cell r="G81">
            <v>38899</v>
          </cell>
        </row>
        <row r="82">
          <cell r="G82">
            <v>38930</v>
          </cell>
        </row>
        <row r="83">
          <cell r="G83">
            <v>38961</v>
          </cell>
        </row>
        <row r="84">
          <cell r="G84">
            <v>38991</v>
          </cell>
        </row>
        <row r="85">
          <cell r="G85">
            <v>39022</v>
          </cell>
        </row>
        <row r="86">
          <cell r="G86">
            <v>39052</v>
          </cell>
        </row>
        <row r="87">
          <cell r="G87">
            <v>39083</v>
          </cell>
        </row>
        <row r="88">
          <cell r="G88">
            <v>39114</v>
          </cell>
        </row>
        <row r="89">
          <cell r="G89">
            <v>39142</v>
          </cell>
        </row>
        <row r="90">
          <cell r="G90">
            <v>39173</v>
          </cell>
        </row>
        <row r="91">
          <cell r="G91">
            <v>39203</v>
          </cell>
        </row>
        <row r="92">
          <cell r="G92">
            <v>39234</v>
          </cell>
        </row>
        <row r="93">
          <cell r="G93">
            <v>39264</v>
          </cell>
        </row>
        <row r="94">
          <cell r="G94">
            <v>39295</v>
          </cell>
        </row>
        <row r="95">
          <cell r="G95">
            <v>39326</v>
          </cell>
        </row>
        <row r="96">
          <cell r="G96">
            <v>39356</v>
          </cell>
        </row>
        <row r="97">
          <cell r="G97">
            <v>39387</v>
          </cell>
        </row>
        <row r="98">
          <cell r="G98">
            <v>39417</v>
          </cell>
        </row>
        <row r="99">
          <cell r="G99">
            <v>39448</v>
          </cell>
        </row>
        <row r="100">
          <cell r="G100">
            <v>39479</v>
          </cell>
        </row>
        <row r="101">
          <cell r="G101">
            <v>39508</v>
          </cell>
        </row>
        <row r="102">
          <cell r="G102">
            <v>39539</v>
          </cell>
        </row>
        <row r="103">
          <cell r="G103">
            <v>39569</v>
          </cell>
        </row>
        <row r="104">
          <cell r="G104">
            <v>39600</v>
          </cell>
        </row>
        <row r="105">
          <cell r="G105">
            <v>39630</v>
          </cell>
        </row>
        <row r="106">
          <cell r="G106">
            <v>39661</v>
          </cell>
        </row>
        <row r="107">
          <cell r="G107">
            <v>39692</v>
          </cell>
        </row>
        <row r="108">
          <cell r="G108">
            <v>39722</v>
          </cell>
        </row>
        <row r="109">
          <cell r="G109">
            <v>39753</v>
          </cell>
        </row>
        <row r="110">
          <cell r="G110">
            <v>39783</v>
          </cell>
        </row>
        <row r="111">
          <cell r="G111">
            <v>39814</v>
          </cell>
        </row>
        <row r="112">
          <cell r="G112">
            <v>39845</v>
          </cell>
        </row>
        <row r="113">
          <cell r="G113">
            <v>39873</v>
          </cell>
        </row>
        <row r="114">
          <cell r="G114">
            <v>39904</v>
          </cell>
        </row>
        <row r="115">
          <cell r="G115">
            <v>39934</v>
          </cell>
        </row>
        <row r="116">
          <cell r="G116">
            <v>39965</v>
          </cell>
        </row>
        <row r="117">
          <cell r="G117">
            <v>39995</v>
          </cell>
        </row>
        <row r="118">
          <cell r="G118">
            <v>40026</v>
          </cell>
        </row>
        <row r="119">
          <cell r="G119">
            <v>40057</v>
          </cell>
        </row>
        <row r="120">
          <cell r="G120">
            <v>40087</v>
          </cell>
        </row>
        <row r="121">
          <cell r="G121">
            <v>40118</v>
          </cell>
        </row>
        <row r="122">
          <cell r="G122">
            <v>40148</v>
          </cell>
        </row>
        <row r="123">
          <cell r="G123">
            <v>40179</v>
          </cell>
        </row>
        <row r="124">
          <cell r="G124">
            <v>40210</v>
          </cell>
        </row>
        <row r="125">
          <cell r="G125">
            <v>40238</v>
          </cell>
        </row>
        <row r="126">
          <cell r="G126">
            <v>40269</v>
          </cell>
        </row>
        <row r="127">
          <cell r="G127">
            <v>40299</v>
          </cell>
        </row>
        <row r="128">
          <cell r="G128">
            <v>40330</v>
          </cell>
        </row>
        <row r="129">
          <cell r="G129">
            <v>40360</v>
          </cell>
        </row>
        <row r="130">
          <cell r="G130">
            <v>40391</v>
          </cell>
        </row>
        <row r="131">
          <cell r="G131">
            <v>40422</v>
          </cell>
        </row>
        <row r="132">
          <cell r="G132">
            <v>40452</v>
          </cell>
        </row>
        <row r="133">
          <cell r="G133">
            <v>40483</v>
          </cell>
        </row>
        <row r="134">
          <cell r="G134">
            <v>40513</v>
          </cell>
        </row>
        <row r="135">
          <cell r="G135">
            <v>40544</v>
          </cell>
        </row>
        <row r="136">
          <cell r="G136">
            <v>40575</v>
          </cell>
        </row>
        <row r="137">
          <cell r="G137">
            <v>40603</v>
          </cell>
        </row>
        <row r="138">
          <cell r="G138">
            <v>40634</v>
          </cell>
        </row>
        <row r="139">
          <cell r="G139">
            <v>40664</v>
          </cell>
        </row>
        <row r="140">
          <cell r="G140">
            <v>40695</v>
          </cell>
        </row>
        <row r="141">
          <cell r="G141">
            <v>40725</v>
          </cell>
        </row>
        <row r="142">
          <cell r="G142">
            <v>40756</v>
          </cell>
        </row>
        <row r="143">
          <cell r="G143">
            <v>40787</v>
          </cell>
        </row>
        <row r="144">
          <cell r="G144">
            <v>40817</v>
          </cell>
        </row>
        <row r="145">
          <cell r="G145">
            <v>40848</v>
          </cell>
        </row>
        <row r="146">
          <cell r="G146">
            <v>40878</v>
          </cell>
        </row>
        <row r="147">
          <cell r="G147">
            <v>40909</v>
          </cell>
        </row>
        <row r="148">
          <cell r="G148">
            <v>40940</v>
          </cell>
        </row>
        <row r="149">
          <cell r="G149">
            <v>40969</v>
          </cell>
        </row>
        <row r="150">
          <cell r="G150">
            <v>41000</v>
          </cell>
        </row>
        <row r="151">
          <cell r="G151">
            <v>41030</v>
          </cell>
        </row>
        <row r="152">
          <cell r="G152">
            <v>41061</v>
          </cell>
        </row>
        <row r="153">
          <cell r="G153">
            <v>41091</v>
          </cell>
        </row>
        <row r="154">
          <cell r="G154">
            <v>41122</v>
          </cell>
        </row>
        <row r="155">
          <cell r="G155">
            <v>41153</v>
          </cell>
        </row>
        <row r="156">
          <cell r="G156">
            <v>41183</v>
          </cell>
        </row>
        <row r="157">
          <cell r="G157">
            <v>41214</v>
          </cell>
        </row>
        <row r="158">
          <cell r="G158">
            <v>41244</v>
          </cell>
        </row>
        <row r="159">
          <cell r="G159">
            <v>41275</v>
          </cell>
        </row>
        <row r="160">
          <cell r="G160">
            <v>41306</v>
          </cell>
        </row>
        <row r="161">
          <cell r="G161">
            <v>41334</v>
          </cell>
        </row>
        <row r="162">
          <cell r="G162">
            <v>41365</v>
          </cell>
        </row>
        <row r="163">
          <cell r="G163">
            <v>41395</v>
          </cell>
        </row>
        <row r="164">
          <cell r="G164">
            <v>41426</v>
          </cell>
        </row>
        <row r="165">
          <cell r="G165">
            <v>41456</v>
          </cell>
        </row>
        <row r="166">
          <cell r="G166">
            <v>41487</v>
          </cell>
        </row>
        <row r="167">
          <cell r="G167">
            <v>41518</v>
          </cell>
        </row>
        <row r="168">
          <cell r="G168">
            <v>41548</v>
          </cell>
        </row>
        <row r="169">
          <cell r="G169">
            <v>41579</v>
          </cell>
        </row>
        <row r="170">
          <cell r="G170">
            <v>41609</v>
          </cell>
        </row>
        <row r="171">
          <cell r="G171">
            <v>41640</v>
          </cell>
        </row>
        <row r="172">
          <cell r="G172">
            <v>41671</v>
          </cell>
        </row>
        <row r="173">
          <cell r="G173">
            <v>41699</v>
          </cell>
        </row>
        <row r="174">
          <cell r="G174">
            <v>41730</v>
          </cell>
        </row>
        <row r="175">
          <cell r="G175">
            <v>41760</v>
          </cell>
        </row>
        <row r="176">
          <cell r="G176">
            <v>41791</v>
          </cell>
        </row>
        <row r="177">
          <cell r="G177">
            <v>41821</v>
          </cell>
        </row>
        <row r="178">
          <cell r="G178">
            <v>41852</v>
          </cell>
        </row>
        <row r="179">
          <cell r="G179">
            <v>41883</v>
          </cell>
        </row>
        <row r="180">
          <cell r="G180">
            <v>41913</v>
          </cell>
        </row>
        <row r="181">
          <cell r="G181">
            <v>41944</v>
          </cell>
        </row>
        <row r="182">
          <cell r="G182">
            <v>41974</v>
          </cell>
        </row>
        <row r="183">
          <cell r="G183">
            <v>42005</v>
          </cell>
        </row>
        <row r="184">
          <cell r="G184">
            <v>42036</v>
          </cell>
        </row>
        <row r="185">
          <cell r="G185">
            <v>42064</v>
          </cell>
        </row>
        <row r="186">
          <cell r="G186">
            <v>42095</v>
          </cell>
        </row>
        <row r="187">
          <cell r="G187">
            <v>42125</v>
          </cell>
        </row>
        <row r="188">
          <cell r="G188">
            <v>42156</v>
          </cell>
        </row>
        <row r="189">
          <cell r="G189">
            <v>42186</v>
          </cell>
        </row>
        <row r="190">
          <cell r="G190">
            <v>42217</v>
          </cell>
        </row>
        <row r="191">
          <cell r="G191">
            <v>42248</v>
          </cell>
        </row>
        <row r="192">
          <cell r="G192">
            <v>42278</v>
          </cell>
        </row>
        <row r="193">
          <cell r="G193">
            <v>42309</v>
          </cell>
        </row>
        <row r="194">
          <cell r="G194">
            <v>42339</v>
          </cell>
        </row>
        <row r="195">
          <cell r="G195">
            <v>42370</v>
          </cell>
        </row>
        <row r="196">
          <cell r="G196">
            <v>42401</v>
          </cell>
        </row>
        <row r="197">
          <cell r="G197">
            <v>42430</v>
          </cell>
        </row>
        <row r="198">
          <cell r="G198">
            <v>42461</v>
          </cell>
        </row>
        <row r="199">
          <cell r="G199">
            <v>42491</v>
          </cell>
        </row>
        <row r="200">
          <cell r="G200">
            <v>42522</v>
          </cell>
        </row>
        <row r="201">
          <cell r="G201">
            <v>42552</v>
          </cell>
        </row>
        <row r="202">
          <cell r="G202">
            <v>42583</v>
          </cell>
        </row>
        <row r="203">
          <cell r="G203">
            <v>42614</v>
          </cell>
        </row>
        <row r="204">
          <cell r="G204">
            <v>42644</v>
          </cell>
        </row>
        <row r="205">
          <cell r="G205">
            <v>42675</v>
          </cell>
        </row>
        <row r="206">
          <cell r="G206">
            <v>42705</v>
          </cell>
        </row>
        <row r="207">
          <cell r="G207">
            <v>42736</v>
          </cell>
        </row>
        <row r="208">
          <cell r="G208">
            <v>42767</v>
          </cell>
        </row>
        <row r="209">
          <cell r="G209">
            <v>42795</v>
          </cell>
        </row>
        <row r="210">
          <cell r="G210">
            <v>42826</v>
          </cell>
        </row>
        <row r="211">
          <cell r="G211">
            <v>42856</v>
          </cell>
        </row>
        <row r="212">
          <cell r="G212">
            <v>42887</v>
          </cell>
        </row>
        <row r="213">
          <cell r="G213">
            <v>42917</v>
          </cell>
        </row>
        <row r="214">
          <cell r="G214">
            <v>42948</v>
          </cell>
        </row>
        <row r="215">
          <cell r="G215">
            <v>42979</v>
          </cell>
        </row>
        <row r="216">
          <cell r="G216">
            <v>43009</v>
          </cell>
        </row>
        <row r="217">
          <cell r="G217">
            <v>43040</v>
          </cell>
        </row>
        <row r="218">
          <cell r="G218">
            <v>43070</v>
          </cell>
        </row>
        <row r="219">
          <cell r="G219">
            <v>43101</v>
          </cell>
        </row>
        <row r="220">
          <cell r="G220">
            <v>43132</v>
          </cell>
        </row>
        <row r="221">
          <cell r="G221">
            <v>43160</v>
          </cell>
        </row>
        <row r="222">
          <cell r="G222">
            <v>43191</v>
          </cell>
        </row>
        <row r="223">
          <cell r="G223">
            <v>43221</v>
          </cell>
        </row>
        <row r="224">
          <cell r="G224">
            <v>43252</v>
          </cell>
        </row>
        <row r="225">
          <cell r="G225">
            <v>43282</v>
          </cell>
        </row>
        <row r="226">
          <cell r="G226">
            <v>43313</v>
          </cell>
        </row>
        <row r="227">
          <cell r="G227">
            <v>43344</v>
          </cell>
        </row>
        <row r="228">
          <cell r="G228">
            <v>43374</v>
          </cell>
        </row>
        <row r="229">
          <cell r="G229">
            <v>43405</v>
          </cell>
        </row>
        <row r="230">
          <cell r="G230">
            <v>43435</v>
          </cell>
        </row>
        <row r="231">
          <cell r="G231">
            <v>43466</v>
          </cell>
        </row>
        <row r="232">
          <cell r="G232">
            <v>43497</v>
          </cell>
        </row>
        <row r="233">
          <cell r="G233">
            <v>43525</v>
          </cell>
        </row>
        <row r="234">
          <cell r="G234">
            <v>43556</v>
          </cell>
        </row>
        <row r="235">
          <cell r="G235">
            <v>43586</v>
          </cell>
        </row>
        <row r="236">
          <cell r="G236">
            <v>43617</v>
          </cell>
        </row>
        <row r="237">
          <cell r="G237">
            <v>43647</v>
          </cell>
        </row>
        <row r="238">
          <cell r="G238">
            <v>43678</v>
          </cell>
        </row>
        <row r="239">
          <cell r="G239">
            <v>43709</v>
          </cell>
        </row>
        <row r="240">
          <cell r="G240">
            <v>43739</v>
          </cell>
        </row>
        <row r="241">
          <cell r="G241">
            <v>43770</v>
          </cell>
        </row>
        <row r="242">
          <cell r="G242">
            <v>43800</v>
          </cell>
        </row>
        <row r="243">
          <cell r="G243">
            <v>43831</v>
          </cell>
        </row>
        <row r="244">
          <cell r="G244">
            <v>43862</v>
          </cell>
        </row>
        <row r="245">
          <cell r="G245">
            <v>43891</v>
          </cell>
        </row>
        <row r="246">
          <cell r="G246">
            <v>43922</v>
          </cell>
        </row>
        <row r="247">
          <cell r="G247">
            <v>43952</v>
          </cell>
        </row>
        <row r="248">
          <cell r="G248">
            <v>43983</v>
          </cell>
        </row>
        <row r="249">
          <cell r="G249">
            <v>44013</v>
          </cell>
        </row>
        <row r="250">
          <cell r="G250">
            <v>44044</v>
          </cell>
        </row>
        <row r="251">
          <cell r="G251">
            <v>44075</v>
          </cell>
        </row>
        <row r="252">
          <cell r="G252">
            <v>44105</v>
          </cell>
        </row>
        <row r="253">
          <cell r="G253">
            <v>44136</v>
          </cell>
        </row>
        <row r="254">
          <cell r="G254">
            <v>44166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  <sheetName val="Variables_Relevantes"/>
      <sheetName val="Anexo_Res_Financieros"/>
      <sheetName val="Anexo_Deuda_Mar14"/>
      <sheetName val="Nuevos_Cargos_Tarifarios"/>
      <sheetName val="Cargos_Tarifarios"/>
      <sheetName val="Variables_Relevantes1"/>
      <sheetName val="Anexo_Res_Financieros1"/>
      <sheetName val="Anexo_Deuda_Mar141"/>
      <sheetName val="Nuevos_Cargos_Tarifarios1"/>
      <sheetName val="Cargos_Tarifarios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Jun14"/>
      <sheetName val="Nuevos Cargos Tarifarios"/>
      <sheetName val="Cargos Tarifarios"/>
      <sheetName val="Variables_Relevantes"/>
      <sheetName val="Anexo_Res_Financieros"/>
      <sheetName val="Anexo_Deuda_Jun14"/>
      <sheetName val="Nuevos_Cargos_Tarifarios"/>
      <sheetName val="Cargos_Tarifarios"/>
      <sheetName val="Variables_Relevantes1"/>
      <sheetName val="Anexo_Res_Financieros1"/>
      <sheetName val="Anexo_Deuda_Jun141"/>
      <sheetName val="Nuevos_Cargos_Tarifarios1"/>
      <sheetName val="Cargos_Tarifarios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WEO_Ass1"/>
      <sheetName val="vul-ind_SRversion1"/>
      <sheetName val="vul-ind_PDRversion1"/>
      <sheetName val="BOP_Stress_1"/>
      <sheetName val="Inv__Income1"/>
      <sheetName val="SA-Tab_271"/>
      <sheetName val="SA-Tab_281"/>
      <sheetName val="SA_Tab_291"/>
      <sheetName val="SA_Tab_301"/>
      <sheetName val="Oper_Budg_1"/>
      <sheetName val="Old_Summ_BoP1"/>
      <sheetName val="Old_Brf-Tbl1"/>
      <sheetName val="WEO_Ass2"/>
      <sheetName val="vul-ind_SRversion2"/>
      <sheetName val="vul-ind_PDRversion2"/>
      <sheetName val="BOP_Stress_2"/>
      <sheetName val="Inv__Income2"/>
      <sheetName val="SA-Tab_272"/>
      <sheetName val="SA-Tab_282"/>
      <sheetName val="SA_Tab_292"/>
      <sheetName val="SA_Tab_302"/>
      <sheetName val="Oper_Budg_2"/>
      <sheetName val="Old_Summ_BoP2"/>
      <sheetName val="Old_Brf-Tbl2"/>
      <sheetName val="WEO_Ass3"/>
      <sheetName val="vul-ind_SRversion3"/>
      <sheetName val="vul-ind_PDRversion3"/>
      <sheetName val="BOP_Stress_3"/>
      <sheetName val="Inv__Income3"/>
      <sheetName val="SA-Tab_273"/>
      <sheetName val="SA-Tab_283"/>
      <sheetName val="SA_Tab_293"/>
      <sheetName val="SA_Tab_303"/>
      <sheetName val="Oper_Budg_3"/>
      <sheetName val="Old_Summ_BoP3"/>
      <sheetName val="Old_Brf-Tbl3"/>
      <sheetName val="WEO_Ass4"/>
      <sheetName val="vul-ind_SRversion4"/>
      <sheetName val="vul-ind_PDRversion4"/>
      <sheetName val="BOP_Stress_4"/>
      <sheetName val="Inv__Income4"/>
      <sheetName val="SA-Tab_274"/>
      <sheetName val="SA-Tab_284"/>
      <sheetName val="SA_Tab_294"/>
      <sheetName val="SA_Tab_304"/>
      <sheetName val="Oper_Budg_4"/>
      <sheetName val="Old_Summ_BoP4"/>
      <sheetName val="Old_Brf-Tbl4"/>
      <sheetName val="WEO_Ass5"/>
      <sheetName val="vul-ind_SRversion5"/>
      <sheetName val="vul-ind_PDRversion5"/>
      <sheetName val="BOP_Stress_5"/>
      <sheetName val="Inv__Income5"/>
      <sheetName val="SA-Tab_275"/>
      <sheetName val="SA-Tab_285"/>
      <sheetName val="SA_Tab_295"/>
      <sheetName val="SA_Tab_305"/>
      <sheetName val="Oper_Budg_5"/>
      <sheetName val="Old_Summ_BoP5"/>
      <sheetName val="Old_Brf-Tbl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ared_data1"/>
      <sheetName val="shared_data2"/>
      <sheetName val="shared_data3"/>
      <sheetName val="shared_data4"/>
      <sheetName val="shared_data5"/>
      <sheetName val="gas112601"/>
      <sheetName val="GEE1023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  <sheetName val="Portada_Cont__EDE-SUR4"/>
      <sheetName val="Detalle_de_Precios_EDE-SUR4"/>
      <sheetName val="Portada_Cont___EDE-NORTE4"/>
      <sheetName val="Detalle_de_Precios_EDE-NORTE4"/>
      <sheetName val="Portada_Cont__EDE-ESTE4"/>
      <sheetName val="Detalle_de_Precios_EDE-ESTE4"/>
      <sheetName val="Resumen_Transacciones4"/>
      <sheetName val="Platts_Jul-004"/>
      <sheetName val="Portada_Spot__EDE-SUR4"/>
      <sheetName val="Portada_Spot__EDE-NORTE4"/>
      <sheetName val="Portada_Spot__EDE-ESTE4"/>
      <sheetName val="Portada_Spot__EDE-HAINA4"/>
      <sheetName val="Portada_Spot__EDE-PALAMARA4"/>
      <sheetName val="Portada_Cont__EDE-SUR5"/>
      <sheetName val="Detalle_de_Precios_EDE-SUR5"/>
      <sheetName val="Portada_Cont___EDE-NORTE5"/>
      <sheetName val="Detalle_de_Precios_EDE-NORTE5"/>
      <sheetName val="Portada_Cont__EDE-ESTE5"/>
      <sheetName val="Detalle_de_Precios_EDE-ESTE5"/>
      <sheetName val="Resumen_Transacciones5"/>
      <sheetName val="Platts_Jul-005"/>
      <sheetName val="Portada_Spot__EDE-SUR5"/>
      <sheetName val="Portada_Spot__EDE-NORTE5"/>
      <sheetName val="Portada_Spot__EDE-ESTE5"/>
      <sheetName val="Portada_Spot__EDE-HAINA5"/>
      <sheetName val="Portada_Spot__EDE-PALAMARA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Ext_debt1"/>
      <sheetName val="Ext_debt2"/>
      <sheetName val="Ext_debt3"/>
      <sheetName val="Ext_debt4"/>
      <sheetName val="Ext_debt5"/>
    </sheetNames>
    <sheetDataSet>
      <sheetData sheetId="9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7"/>
  <sheetViews>
    <sheetView showGridLines="0" tabSelected="1" zoomScale="70" zoomScaleNormal="70" zoomScalePageLayoutView="0" workbookViewId="0" topLeftCell="A1">
      <pane xSplit="1" ySplit="1" topLeftCell="BQ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U1" sqref="CU1:CU16384"/>
    </sheetView>
  </sheetViews>
  <sheetFormatPr defaultColWidth="9.140625" defaultRowHeight="12" customHeight="1" outlineLevelRow="1"/>
  <cols>
    <col min="1" max="1" width="76.7109375" style="3" bestFit="1" customWidth="1"/>
    <col min="2" max="2" width="8.57421875" style="1" bestFit="1" customWidth="1"/>
    <col min="3" max="3" width="8.140625" style="1" bestFit="1" customWidth="1"/>
    <col min="4" max="5" width="8.57421875" style="1" bestFit="1" customWidth="1"/>
    <col min="6" max="6" width="8.7109375" style="1" bestFit="1" customWidth="1"/>
    <col min="7" max="13" width="8.57421875" style="1" bestFit="1" customWidth="1"/>
    <col min="14" max="14" width="8.28125" style="1" bestFit="1" customWidth="1"/>
    <col min="15" max="15" width="9.28125" style="1" bestFit="1" customWidth="1"/>
    <col min="16" max="16" width="9.7109375" style="1" bestFit="1" customWidth="1"/>
    <col min="17" max="17" width="9.28125" style="1" bestFit="1" customWidth="1"/>
    <col min="18" max="18" width="10.00390625" style="1" bestFit="1" customWidth="1"/>
    <col min="19" max="19" width="9.00390625" style="1" bestFit="1" customWidth="1"/>
    <col min="20" max="20" width="8.421875" style="1" bestFit="1" customWidth="1"/>
    <col min="21" max="21" width="9.421875" style="1" bestFit="1" customWidth="1"/>
    <col min="22" max="23" width="9.28125" style="1" bestFit="1" customWidth="1"/>
    <col min="24" max="24" width="9.421875" style="1" bestFit="1" customWidth="1"/>
    <col min="25" max="25" width="9.00390625" style="1" bestFit="1" customWidth="1"/>
    <col min="26" max="26" width="9.421875" style="4" bestFit="1" customWidth="1"/>
    <col min="27" max="27" width="9.28125" style="4" bestFit="1" customWidth="1"/>
    <col min="28" max="28" width="9.7109375" style="6" bestFit="1" customWidth="1"/>
    <col min="29" max="29" width="9.28125" style="6" bestFit="1" customWidth="1"/>
    <col min="30" max="30" width="10.00390625" style="6" bestFit="1" customWidth="1"/>
    <col min="31" max="31" width="9.00390625" style="6" bestFit="1" customWidth="1"/>
    <col min="32" max="32" width="8.7109375" style="6" bestFit="1" customWidth="1"/>
    <col min="33" max="33" width="9.421875" style="6" bestFit="1" customWidth="1"/>
    <col min="34" max="35" width="9.28125" style="6" bestFit="1" customWidth="1"/>
    <col min="36" max="36" width="9.421875" style="6" bestFit="1" customWidth="1"/>
    <col min="37" max="37" width="9.00390625" style="6" bestFit="1" customWidth="1"/>
    <col min="38" max="38" width="9.421875" style="6" bestFit="1" customWidth="1"/>
    <col min="39" max="39" width="9.28125" style="6" bestFit="1" customWidth="1"/>
    <col min="40" max="40" width="9.7109375" style="6" bestFit="1" customWidth="1"/>
    <col min="41" max="41" width="9.28125" style="6" bestFit="1" customWidth="1"/>
    <col min="42" max="42" width="10.00390625" style="6" bestFit="1" customWidth="1"/>
    <col min="43" max="43" width="9.00390625" style="6" bestFit="1" customWidth="1"/>
    <col min="44" max="44" width="8.7109375" style="6" bestFit="1" customWidth="1"/>
    <col min="45" max="45" width="9.421875" style="6" bestFit="1" customWidth="1"/>
    <col min="46" max="47" width="9.28125" style="6" bestFit="1" customWidth="1"/>
    <col min="48" max="48" width="9.421875" style="6" bestFit="1" customWidth="1"/>
    <col min="49" max="49" width="9.00390625" style="6" bestFit="1" customWidth="1"/>
    <col min="50" max="50" width="9.421875" style="6" bestFit="1" customWidth="1"/>
    <col min="51" max="51" width="9.28125" style="6" bestFit="1" customWidth="1"/>
    <col min="52" max="52" width="9.7109375" style="6" bestFit="1" customWidth="1"/>
    <col min="53" max="53" width="9.28125" style="6" bestFit="1" customWidth="1"/>
    <col min="54" max="54" width="10.00390625" style="6" bestFit="1" customWidth="1"/>
    <col min="55" max="55" width="9.00390625" style="6" bestFit="1" customWidth="1"/>
    <col min="56" max="56" width="8.7109375" style="6" bestFit="1" customWidth="1"/>
    <col min="57" max="57" width="9.421875" style="6" bestFit="1" customWidth="1"/>
    <col min="58" max="59" width="9.28125" style="6" bestFit="1" customWidth="1"/>
    <col min="60" max="60" width="9.421875" style="6" bestFit="1" customWidth="1"/>
    <col min="61" max="61" width="9.00390625" style="6" bestFit="1" customWidth="1"/>
    <col min="62" max="62" width="9.421875" style="6" bestFit="1" customWidth="1"/>
    <col min="63" max="63" width="9.28125" style="6" bestFit="1" customWidth="1"/>
    <col min="64" max="64" width="9.7109375" style="6" bestFit="1" customWidth="1"/>
    <col min="65" max="65" width="9.28125" style="6" bestFit="1" customWidth="1"/>
    <col min="66" max="66" width="10.00390625" style="6" bestFit="1" customWidth="1"/>
    <col min="67" max="67" width="9.00390625" style="6" bestFit="1" customWidth="1"/>
    <col min="68" max="68" width="8.7109375" style="6" bestFit="1" customWidth="1"/>
    <col min="69" max="69" width="9.421875" style="6" bestFit="1" customWidth="1"/>
    <col min="70" max="71" width="9.28125" style="6" bestFit="1" customWidth="1"/>
    <col min="72" max="72" width="9.421875" style="6" bestFit="1" customWidth="1"/>
    <col min="73" max="73" width="9.00390625" style="6" bestFit="1" customWidth="1"/>
    <col min="74" max="74" width="9.7109375" style="1" bestFit="1" customWidth="1"/>
    <col min="75" max="75" width="9.421875" style="6" bestFit="1" customWidth="1"/>
    <col min="76" max="76" width="10.00390625" style="6" bestFit="1" customWidth="1"/>
    <col min="77" max="77" width="9.421875" style="6" bestFit="1" customWidth="1"/>
    <col min="78" max="78" width="10.28125" style="6" bestFit="1" customWidth="1"/>
    <col min="79" max="79" width="9.28125" style="6" bestFit="1" customWidth="1"/>
    <col min="80" max="80" width="8.7109375" style="6" bestFit="1" customWidth="1"/>
    <col min="81" max="81" width="9.7109375" style="6" bestFit="1" customWidth="1"/>
    <col min="82" max="83" width="9.421875" style="6" bestFit="1" customWidth="1"/>
    <col min="84" max="84" width="9.7109375" style="6" bestFit="1" customWidth="1"/>
    <col min="85" max="85" width="9.28125" style="6" bestFit="1" customWidth="1"/>
    <col min="86" max="86" width="9.421875" style="6" bestFit="1" customWidth="1"/>
    <col min="87" max="87" width="9.28125" style="6" bestFit="1" customWidth="1"/>
    <col min="88" max="88" width="9.7109375" style="6" bestFit="1" customWidth="1"/>
    <col min="89" max="89" width="9.28125" style="6" bestFit="1" customWidth="1"/>
    <col min="90" max="90" width="10.00390625" style="6" bestFit="1" customWidth="1"/>
    <col min="91" max="91" width="9.00390625" style="6" bestFit="1" customWidth="1"/>
    <col min="92" max="92" width="8.421875" style="6" bestFit="1" customWidth="1"/>
    <col min="93" max="93" width="9.421875" style="6" bestFit="1" customWidth="1"/>
    <col min="94" max="94" width="9.28125" style="6" bestFit="1" customWidth="1"/>
    <col min="95" max="95" width="10.28125" style="6" bestFit="1" customWidth="1"/>
    <col min="96" max="96" width="9.421875" style="6" bestFit="1" customWidth="1"/>
    <col min="97" max="97" width="9.00390625" style="6" bestFit="1" customWidth="1"/>
    <col min="98" max="98" width="9.7109375" style="6" bestFit="1" customWidth="1"/>
    <col min="99" max="16384" width="9.140625" style="1" customWidth="1"/>
  </cols>
  <sheetData>
    <row r="1" spans="1:98" s="2" customFormat="1" ht="60.75" customHeight="1">
      <c r="A1" s="11" t="s">
        <v>39</v>
      </c>
      <c r="B1" s="12">
        <v>41640</v>
      </c>
      <c r="C1" s="12">
        <v>41671</v>
      </c>
      <c r="D1" s="12">
        <v>41699</v>
      </c>
      <c r="E1" s="12">
        <v>41730</v>
      </c>
      <c r="F1" s="12">
        <v>41760</v>
      </c>
      <c r="G1" s="12">
        <v>41791</v>
      </c>
      <c r="H1" s="12">
        <v>41821</v>
      </c>
      <c r="I1" s="12">
        <v>41852</v>
      </c>
      <c r="J1" s="12">
        <v>41883</v>
      </c>
      <c r="K1" s="12">
        <v>41913</v>
      </c>
      <c r="L1" s="12">
        <v>41945</v>
      </c>
      <c r="M1" s="12">
        <v>41976</v>
      </c>
      <c r="N1" s="12">
        <v>42005</v>
      </c>
      <c r="O1" s="12">
        <v>42036</v>
      </c>
      <c r="P1" s="12">
        <v>42065</v>
      </c>
      <c r="Q1" s="12">
        <v>42095</v>
      </c>
      <c r="R1" s="12">
        <v>42125</v>
      </c>
      <c r="S1" s="12">
        <v>42157</v>
      </c>
      <c r="T1" s="12">
        <v>42189</v>
      </c>
      <c r="U1" s="12">
        <v>42217</v>
      </c>
      <c r="V1" s="12">
        <v>42248</v>
      </c>
      <c r="W1" s="12">
        <v>42278</v>
      </c>
      <c r="X1" s="12">
        <v>42309</v>
      </c>
      <c r="Y1" s="12">
        <v>42339</v>
      </c>
      <c r="Z1" s="12">
        <v>42370</v>
      </c>
      <c r="AA1" s="12">
        <v>42401</v>
      </c>
      <c r="AB1" s="12">
        <v>42431</v>
      </c>
      <c r="AC1" s="12">
        <v>42461</v>
      </c>
      <c r="AD1" s="12">
        <v>42491</v>
      </c>
      <c r="AE1" s="12">
        <v>42522</v>
      </c>
      <c r="AF1" s="12">
        <v>42552</v>
      </c>
      <c r="AG1" s="12">
        <v>42583</v>
      </c>
      <c r="AH1" s="12">
        <v>42614</v>
      </c>
      <c r="AI1" s="12">
        <v>42644</v>
      </c>
      <c r="AJ1" s="12">
        <v>42675</v>
      </c>
      <c r="AK1" s="12">
        <v>42705</v>
      </c>
      <c r="AL1" s="12">
        <v>42736</v>
      </c>
      <c r="AM1" s="12">
        <v>42767</v>
      </c>
      <c r="AN1" s="12">
        <v>42795</v>
      </c>
      <c r="AO1" s="12">
        <v>42826</v>
      </c>
      <c r="AP1" s="12">
        <v>42856</v>
      </c>
      <c r="AQ1" s="12">
        <v>42887</v>
      </c>
      <c r="AR1" s="12">
        <v>42917</v>
      </c>
      <c r="AS1" s="12">
        <v>42948</v>
      </c>
      <c r="AT1" s="12">
        <v>42979</v>
      </c>
      <c r="AU1" s="12">
        <v>43009</v>
      </c>
      <c r="AV1" s="12">
        <v>43040</v>
      </c>
      <c r="AW1" s="12">
        <v>43070</v>
      </c>
      <c r="AX1" s="12">
        <v>43101</v>
      </c>
      <c r="AY1" s="12">
        <v>43132</v>
      </c>
      <c r="AZ1" s="12">
        <v>43160</v>
      </c>
      <c r="BA1" s="12">
        <v>43191</v>
      </c>
      <c r="BB1" s="12">
        <v>43221</v>
      </c>
      <c r="BC1" s="12">
        <v>43252</v>
      </c>
      <c r="BD1" s="12">
        <v>43282</v>
      </c>
      <c r="BE1" s="12">
        <v>43313</v>
      </c>
      <c r="BF1" s="12">
        <v>43344</v>
      </c>
      <c r="BG1" s="12">
        <v>43374</v>
      </c>
      <c r="BH1" s="12">
        <v>43405</v>
      </c>
      <c r="BI1" s="12">
        <v>43435</v>
      </c>
      <c r="BJ1" s="12">
        <v>43466</v>
      </c>
      <c r="BK1" s="12">
        <v>43497</v>
      </c>
      <c r="BL1" s="12">
        <v>43525</v>
      </c>
      <c r="BM1" s="12">
        <v>43556</v>
      </c>
      <c r="BN1" s="12">
        <v>43586</v>
      </c>
      <c r="BO1" s="12">
        <v>43617</v>
      </c>
      <c r="BP1" s="18">
        <v>43647</v>
      </c>
      <c r="BQ1" s="18">
        <v>43678</v>
      </c>
      <c r="BR1" s="18">
        <v>43709</v>
      </c>
      <c r="BS1" s="18">
        <v>43739</v>
      </c>
      <c r="BT1" s="18">
        <v>43770</v>
      </c>
      <c r="BU1" s="18">
        <v>43800</v>
      </c>
      <c r="BV1" s="12">
        <v>43831</v>
      </c>
      <c r="BW1" s="12">
        <v>43862</v>
      </c>
      <c r="BX1" s="12">
        <v>43891</v>
      </c>
      <c r="BY1" s="12">
        <v>43922</v>
      </c>
      <c r="BZ1" s="12">
        <v>43952</v>
      </c>
      <c r="CA1" s="12">
        <v>43983</v>
      </c>
      <c r="CB1" s="18">
        <v>44013</v>
      </c>
      <c r="CC1" s="18">
        <v>44044</v>
      </c>
      <c r="CD1" s="18">
        <v>44075</v>
      </c>
      <c r="CE1" s="18">
        <v>44105</v>
      </c>
      <c r="CF1" s="18">
        <v>44136</v>
      </c>
      <c r="CG1" s="18">
        <v>44166</v>
      </c>
      <c r="CH1" s="18">
        <v>44197</v>
      </c>
      <c r="CI1" s="18">
        <v>44228</v>
      </c>
      <c r="CJ1" s="18">
        <v>44256</v>
      </c>
      <c r="CK1" s="18">
        <v>44287</v>
      </c>
      <c r="CL1" s="18">
        <v>44317</v>
      </c>
      <c r="CM1" s="18">
        <v>44348</v>
      </c>
      <c r="CN1" s="18">
        <v>44378</v>
      </c>
      <c r="CO1" s="18">
        <v>44409</v>
      </c>
      <c r="CP1" s="18">
        <v>44440</v>
      </c>
      <c r="CQ1" s="18">
        <v>44470</v>
      </c>
      <c r="CR1" s="18">
        <v>44501</v>
      </c>
      <c r="CS1" s="18">
        <v>44531</v>
      </c>
      <c r="CT1" s="18">
        <v>44562</v>
      </c>
    </row>
    <row r="2" spans="1:112" s="2" customFormat="1" ht="15" customHeight="1">
      <c r="A2" s="9" t="s">
        <v>23</v>
      </c>
      <c r="B2" s="8">
        <v>355.4134370300004</v>
      </c>
      <c r="C2" s="8">
        <v>326.14088432999944</v>
      </c>
      <c r="D2" s="8">
        <v>373.3200209509402</v>
      </c>
      <c r="E2" s="8">
        <v>370.17014435529074</v>
      </c>
      <c r="F2" s="8">
        <v>386.4969002513624</v>
      </c>
      <c r="G2" s="8">
        <v>391.3279003893875</v>
      </c>
      <c r="H2" s="8">
        <v>402.40868360623637</v>
      </c>
      <c r="I2" s="8">
        <v>391.56203850096796</v>
      </c>
      <c r="J2" s="8">
        <v>377.34783664069477</v>
      </c>
      <c r="K2" s="8">
        <v>405.7792950836948</v>
      </c>
      <c r="L2" s="8">
        <v>367.8897936387904</v>
      </c>
      <c r="M2" s="8">
        <v>366.66828490170593</v>
      </c>
      <c r="N2" s="8">
        <v>357.8859802713382</v>
      </c>
      <c r="O2" s="8">
        <v>331.2383784408594</v>
      </c>
      <c r="P2" s="8">
        <v>375.86390922907054</v>
      </c>
      <c r="Q2" s="8">
        <v>371.41260391073416</v>
      </c>
      <c r="R2" s="8">
        <v>392.9246714617659</v>
      </c>
      <c r="S2" s="8">
        <v>403.75986065780387</v>
      </c>
      <c r="T2" s="8">
        <v>423.5528464163927</v>
      </c>
      <c r="U2" s="8">
        <v>422.16484425455775</v>
      </c>
      <c r="V2" s="8">
        <v>413.9718144392673</v>
      </c>
      <c r="W2" s="8">
        <v>430.04001686353286</v>
      </c>
      <c r="X2" s="8">
        <v>379.0567554683413</v>
      </c>
      <c r="Y2" s="8">
        <v>389.31845222370913</v>
      </c>
      <c r="Z2" s="8">
        <v>377.1329395379166</v>
      </c>
      <c r="AA2" s="8">
        <v>366.29440161053054</v>
      </c>
      <c r="AB2" s="8">
        <v>396.47918158947584</v>
      </c>
      <c r="AC2" s="8">
        <v>399.515475787</v>
      </c>
      <c r="AD2" s="8">
        <v>439.08157198151594</v>
      </c>
      <c r="AE2" s="8">
        <v>430.878742309443</v>
      </c>
      <c r="AF2" s="8">
        <v>443.0182542880955</v>
      </c>
      <c r="AG2" s="8">
        <v>440.34257733943804</v>
      </c>
      <c r="AH2" s="8">
        <v>440.3637779207893</v>
      </c>
      <c r="AI2" s="8">
        <v>433.7481531097996</v>
      </c>
      <c r="AJ2" s="8">
        <v>401.25249331715537</v>
      </c>
      <c r="AK2" s="8">
        <v>406.97864792678666</v>
      </c>
      <c r="AL2" s="8">
        <v>372.8648598849303</v>
      </c>
      <c r="AM2" s="8">
        <v>354.0802626105653</v>
      </c>
      <c r="AN2" s="8">
        <v>398.57726517748716</v>
      </c>
      <c r="AO2" s="8">
        <v>385.057481777757</v>
      </c>
      <c r="AP2" s="8">
        <v>426.30242231835507</v>
      </c>
      <c r="AQ2" s="8">
        <v>433.7846059821564</v>
      </c>
      <c r="AR2" s="8">
        <v>454.42236616418194</v>
      </c>
      <c r="AS2" s="8">
        <v>471.82003946478426</v>
      </c>
      <c r="AT2" s="8">
        <v>441.01754849362027</v>
      </c>
      <c r="AU2" s="8">
        <v>449.5240156907508</v>
      </c>
      <c r="AV2" s="8">
        <v>409.4758324148236</v>
      </c>
      <c r="AW2" s="8">
        <v>409.58123140882446</v>
      </c>
      <c r="AX2" s="8">
        <v>391.21070357204604</v>
      </c>
      <c r="AY2" s="8">
        <v>343.1946515925962</v>
      </c>
      <c r="AZ2" s="8">
        <v>404.00167021533315</v>
      </c>
      <c r="BA2" s="8">
        <v>415.22621439578603</v>
      </c>
      <c r="BB2" s="8">
        <v>430.94466980682733</v>
      </c>
      <c r="BC2" s="8">
        <v>440.8066229389622</v>
      </c>
      <c r="BD2" s="8">
        <v>460.807284</v>
      </c>
      <c r="BE2" s="8">
        <v>459.46092799999997</v>
      </c>
      <c r="BF2" s="8">
        <v>425.82763199999994</v>
      </c>
      <c r="BG2" s="8">
        <v>440.368992</v>
      </c>
      <c r="BH2" s="8">
        <v>423.248597</v>
      </c>
      <c r="BI2" s="8">
        <v>420.47525300000007</v>
      </c>
      <c r="BJ2" s="8">
        <v>405.691234</v>
      </c>
      <c r="BK2" s="8">
        <v>383.224837</v>
      </c>
      <c r="BL2" s="8">
        <v>430.133715</v>
      </c>
      <c r="BM2" s="8">
        <v>420.37149</v>
      </c>
      <c r="BN2" s="8">
        <v>460.71561399999996</v>
      </c>
      <c r="BO2" s="8">
        <v>468.257751</v>
      </c>
      <c r="BP2" s="8">
        <v>499.31275200000005</v>
      </c>
      <c r="BQ2" s="8">
        <v>504.725419</v>
      </c>
      <c r="BR2" s="8">
        <v>482.505372</v>
      </c>
      <c r="BS2" s="8">
        <v>496.68667800000003</v>
      </c>
      <c r="BT2" s="8">
        <v>458.95519900000005</v>
      </c>
      <c r="BU2" s="8">
        <v>450.62444200000004</v>
      </c>
      <c r="BV2" s="8">
        <v>431.411065</v>
      </c>
      <c r="BW2" s="8">
        <v>421.162443</v>
      </c>
      <c r="BX2" s="8">
        <v>426.747217</v>
      </c>
      <c r="BY2" s="8">
        <v>420.891735</v>
      </c>
      <c r="BZ2" s="8">
        <v>465.21807200000006</v>
      </c>
      <c r="CA2" s="8">
        <v>495.891248</v>
      </c>
      <c r="CB2" s="8">
        <v>517.415469</v>
      </c>
      <c r="CC2" s="8">
        <v>498.354229</v>
      </c>
      <c r="CD2" s="8">
        <v>487.88258399999995</v>
      </c>
      <c r="CE2" s="8">
        <v>498.32954000000007</v>
      </c>
      <c r="CF2" s="8">
        <v>438.99758199999997</v>
      </c>
      <c r="CG2" s="8">
        <v>452.670858</v>
      </c>
      <c r="CH2" s="8">
        <v>427.119704</v>
      </c>
      <c r="CI2" s="8">
        <v>411.434792</v>
      </c>
      <c r="CJ2" s="8">
        <v>455.715261</v>
      </c>
      <c r="CK2" s="8">
        <v>452.094681</v>
      </c>
      <c r="CL2" s="8">
        <v>503.054945</v>
      </c>
      <c r="CM2" s="8">
        <v>486.338478</v>
      </c>
      <c r="CN2" s="8">
        <v>521.606418</v>
      </c>
      <c r="CO2" s="8">
        <v>521.6320509999999</v>
      </c>
      <c r="CP2" s="8">
        <v>538.039438</v>
      </c>
      <c r="CQ2" s="8">
        <v>522.716347</v>
      </c>
      <c r="CR2" s="8">
        <v>504.09949700000004</v>
      </c>
      <c r="CS2" s="8">
        <v>478.335012</v>
      </c>
      <c r="CT2" s="8">
        <v>452.520961</v>
      </c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</row>
    <row r="3" spans="1:112" s="2" customFormat="1" ht="15" customHeight="1">
      <c r="A3" s="9" t="s">
        <v>0</v>
      </c>
      <c r="B3" s="20">
        <f aca="true" t="shared" si="0" ref="B3:AG3">+(B4/B2)*100</f>
        <v>17.721417074344746</v>
      </c>
      <c r="C3" s="20">
        <f t="shared" si="0"/>
        <v>18.03898785070736</v>
      </c>
      <c r="D3" s="20">
        <f t="shared" si="0"/>
        <v>17.982761059492354</v>
      </c>
      <c r="E3" s="20">
        <f t="shared" si="0"/>
        <v>18.262266179894837</v>
      </c>
      <c r="F3" s="20">
        <f t="shared" si="0"/>
        <v>18.01140083982366</v>
      </c>
      <c r="G3" s="20">
        <f t="shared" si="0"/>
        <v>18.478677427472313</v>
      </c>
      <c r="H3" s="20">
        <f t="shared" si="0"/>
        <v>19.036322568702758</v>
      </c>
      <c r="I3" s="20">
        <f t="shared" si="0"/>
        <v>18.251987173217408</v>
      </c>
      <c r="J3" s="20">
        <f t="shared" si="0"/>
        <v>18.244312243377774</v>
      </c>
      <c r="K3" s="20">
        <f t="shared" si="0"/>
        <v>17.707735042673526</v>
      </c>
      <c r="L3" s="20">
        <f t="shared" si="0"/>
        <v>16.30881531255509</v>
      </c>
      <c r="M3" s="20">
        <f t="shared" si="0"/>
        <v>14.112271325496195</v>
      </c>
      <c r="N3" s="20">
        <f t="shared" si="0"/>
        <v>13.762376610497299</v>
      </c>
      <c r="O3" s="20">
        <f t="shared" si="0"/>
        <v>13.370195394485746</v>
      </c>
      <c r="P3" s="20">
        <f t="shared" si="0"/>
        <v>13.260408985805716</v>
      </c>
      <c r="Q3" s="20">
        <f t="shared" si="0"/>
        <v>13.209981467637485</v>
      </c>
      <c r="R3" s="20">
        <f t="shared" si="0"/>
        <v>13.69362815928184</v>
      </c>
      <c r="S3" s="20">
        <f t="shared" si="0"/>
        <v>14.442599443444976</v>
      </c>
      <c r="T3" s="20">
        <f t="shared" si="0"/>
        <v>14.069333801587192</v>
      </c>
      <c r="U3" s="20">
        <f t="shared" si="0"/>
        <v>12.937876590514039</v>
      </c>
      <c r="V3" s="20">
        <f t="shared" si="0"/>
        <v>12.127939496942924</v>
      </c>
      <c r="W3" s="20">
        <f t="shared" si="0"/>
        <v>12.182018074051342</v>
      </c>
      <c r="X3" s="20">
        <f t="shared" si="0"/>
        <v>11.91957786585108</v>
      </c>
      <c r="Y3" s="20">
        <f t="shared" si="0"/>
        <v>11.15012731866357</v>
      </c>
      <c r="Z3" s="20">
        <f t="shared" si="0"/>
        <v>10.113362328689403</v>
      </c>
      <c r="AA3" s="20">
        <f t="shared" si="0"/>
        <v>10.142981877815473</v>
      </c>
      <c r="AB3" s="20">
        <f t="shared" si="0"/>
        <v>10.028898168494827</v>
      </c>
      <c r="AC3" s="20">
        <f t="shared" si="0"/>
        <v>10.50189706786794</v>
      </c>
      <c r="AD3" s="20">
        <f t="shared" si="0"/>
        <v>10.602891787866689</v>
      </c>
      <c r="AE3" s="20">
        <f t="shared" si="0"/>
        <v>11.373686793488137</v>
      </c>
      <c r="AF3" s="20">
        <f t="shared" si="0"/>
        <v>11.52000224066171</v>
      </c>
      <c r="AG3" s="20">
        <f t="shared" si="0"/>
        <v>11.000539493493092</v>
      </c>
      <c r="AH3" s="20">
        <f aca="true" t="shared" si="1" ref="AH3:BM3">+(AH4/AH2)*100</f>
        <v>10.962818398722792</v>
      </c>
      <c r="AI3" s="20">
        <f t="shared" si="1"/>
        <v>11.040585773932047</v>
      </c>
      <c r="AJ3" s="20">
        <f t="shared" si="1"/>
        <v>11.598296163857142</v>
      </c>
      <c r="AK3" s="20">
        <f t="shared" si="1"/>
        <v>11.129412570500786</v>
      </c>
      <c r="AL3" s="20">
        <f t="shared" si="1"/>
        <v>12.463399312041341</v>
      </c>
      <c r="AM3" s="20">
        <f t="shared" si="1"/>
        <v>13.09389539664151</v>
      </c>
      <c r="AN3" s="20">
        <f t="shared" si="1"/>
        <v>12.112797878380027</v>
      </c>
      <c r="AO3" s="20">
        <f t="shared" si="1"/>
        <v>11.786287721103468</v>
      </c>
      <c r="AP3" s="20">
        <f t="shared" si="1"/>
        <v>11.491143749688248</v>
      </c>
      <c r="AQ3" s="20">
        <f t="shared" si="1"/>
        <v>11.560155073314935</v>
      </c>
      <c r="AR3" s="20">
        <f t="shared" si="1"/>
        <v>11.175312004418522</v>
      </c>
      <c r="AS3" s="20">
        <f t="shared" si="1"/>
        <v>11.121973578397633</v>
      </c>
      <c r="AT3" s="20">
        <f t="shared" si="1"/>
        <v>11.20110866973703</v>
      </c>
      <c r="AU3" s="20">
        <f t="shared" si="1"/>
        <v>11.437707725701122</v>
      </c>
      <c r="AV3" s="20">
        <f t="shared" si="1"/>
        <v>11.642415189900024</v>
      </c>
      <c r="AW3" s="20">
        <f t="shared" si="1"/>
        <v>11.941322365080993</v>
      </c>
      <c r="AX3" s="20">
        <f t="shared" si="1"/>
        <v>11.644934255932611</v>
      </c>
      <c r="AY3" s="20">
        <f t="shared" si="1"/>
        <v>11.493651425032574</v>
      </c>
      <c r="AZ3" s="20">
        <f t="shared" si="1"/>
        <v>12.034760031831125</v>
      </c>
      <c r="BA3" s="20">
        <f t="shared" si="1"/>
        <v>11.922290272297799</v>
      </c>
      <c r="BB3" s="20">
        <f t="shared" si="1"/>
        <v>12.504811653801685</v>
      </c>
      <c r="BC3" s="20">
        <f t="shared" si="1"/>
        <v>13.195627636131402</v>
      </c>
      <c r="BD3" s="20">
        <f t="shared" si="1"/>
        <v>13.299165312461463</v>
      </c>
      <c r="BE3" s="20">
        <f t="shared" si="1"/>
        <v>13.350276994393012</v>
      </c>
      <c r="BF3" s="20">
        <f t="shared" si="1"/>
        <v>13.710712375715664</v>
      </c>
      <c r="BG3" s="20">
        <f t="shared" si="1"/>
        <v>13.531042660848325</v>
      </c>
      <c r="BH3" s="20">
        <f t="shared" si="1"/>
        <v>13.993616127752933</v>
      </c>
      <c r="BI3" s="20">
        <f t="shared" si="1"/>
        <v>13.183595372083834</v>
      </c>
      <c r="BJ3" s="20">
        <f t="shared" si="1"/>
        <v>12.86454487922767</v>
      </c>
      <c r="BK3" s="20">
        <f t="shared" si="1"/>
        <v>13.445867230348691</v>
      </c>
      <c r="BL3" s="20">
        <f t="shared" si="1"/>
        <v>13.480565649336887</v>
      </c>
      <c r="BM3" s="20">
        <f t="shared" si="1"/>
        <v>13.19414493610649</v>
      </c>
      <c r="BN3" s="20">
        <f aca="true" t="shared" si="2" ref="BN3:CS3">+(BN4/BN2)*100</f>
        <v>13.028362634952112</v>
      </c>
      <c r="BO3" s="20">
        <f t="shared" si="2"/>
        <v>13.141259481213991</v>
      </c>
      <c r="BP3" s="20">
        <f t="shared" si="2"/>
        <v>12.014127823577606</v>
      </c>
      <c r="BQ3" s="20">
        <f t="shared" si="2"/>
        <v>12.051273514184004</v>
      </c>
      <c r="BR3" s="20">
        <f t="shared" si="2"/>
        <v>11.753613211581134</v>
      </c>
      <c r="BS3" s="20">
        <f t="shared" si="2"/>
        <v>11.286083905559698</v>
      </c>
      <c r="BT3" s="20">
        <f t="shared" si="2"/>
        <v>11.48303976090008</v>
      </c>
      <c r="BU3" s="20">
        <f t="shared" si="2"/>
        <v>10.958673030879472</v>
      </c>
      <c r="BV3" s="20">
        <f t="shared" si="2"/>
        <v>11.306104593509</v>
      </c>
      <c r="BW3" s="20">
        <f t="shared" si="2"/>
        <v>11.492361223609098</v>
      </c>
      <c r="BX3" s="20">
        <f t="shared" si="2"/>
        <v>11.127871113094292</v>
      </c>
      <c r="BY3" s="20">
        <f t="shared" si="2"/>
        <v>10.864690199131292</v>
      </c>
      <c r="BZ3" s="20">
        <f t="shared" si="2"/>
        <v>10.27087441462666</v>
      </c>
      <c r="CA3" s="20">
        <f t="shared" si="2"/>
        <v>10.425254266704172</v>
      </c>
      <c r="CB3" s="20">
        <f t="shared" si="2"/>
        <v>10.644662632431935</v>
      </c>
      <c r="CC3" s="20">
        <f t="shared" si="2"/>
        <v>10.968094007047785</v>
      </c>
      <c r="CD3" s="20">
        <f t="shared" si="2"/>
        <v>11.151473865373642</v>
      </c>
      <c r="CE3" s="20">
        <f t="shared" si="2"/>
        <v>11.358146035730918</v>
      </c>
      <c r="CF3" s="20">
        <f t="shared" si="2"/>
        <v>11.827829954123418</v>
      </c>
      <c r="CG3" s="20">
        <f t="shared" si="2"/>
        <v>11.85245285882323</v>
      </c>
      <c r="CH3" s="20">
        <f t="shared" si="2"/>
        <v>11.936834443783983</v>
      </c>
      <c r="CI3" s="20">
        <f t="shared" si="2"/>
        <v>12.26964602202831</v>
      </c>
      <c r="CJ3" s="20">
        <f t="shared" si="2"/>
        <v>11.918657975521487</v>
      </c>
      <c r="CK3" s="20">
        <f t="shared" si="2"/>
        <v>12.209579657565008</v>
      </c>
      <c r="CL3" s="20">
        <f t="shared" si="2"/>
        <v>12.003150578716319</v>
      </c>
      <c r="CM3" s="20">
        <f t="shared" si="2"/>
        <v>12.242429071346631</v>
      </c>
      <c r="CN3" s="20">
        <f t="shared" si="2"/>
        <v>12.228070973806478</v>
      </c>
      <c r="CO3" s="20">
        <f t="shared" si="2"/>
        <v>12.803738083001853</v>
      </c>
      <c r="CP3" s="20">
        <f t="shared" si="2"/>
        <v>13.156030675145638</v>
      </c>
      <c r="CQ3" s="8">
        <f t="shared" si="2"/>
        <v>13.143873943927401</v>
      </c>
      <c r="CR3" s="8">
        <f t="shared" si="2"/>
        <v>13.94783636993383</v>
      </c>
      <c r="CS3" s="8">
        <f t="shared" si="2"/>
        <v>14.976143678143504</v>
      </c>
      <c r="CT3" s="8">
        <f>+(CT4/CT2)*100</f>
        <v>14.821895248036327</v>
      </c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</row>
    <row r="4" spans="1:112" s="2" customFormat="1" ht="15" customHeight="1">
      <c r="A4" s="9" t="s">
        <v>1</v>
      </c>
      <c r="B4" s="8">
        <v>62.98429751435</v>
      </c>
      <c r="C4" s="8">
        <v>58.83251450047815</v>
      </c>
      <c r="D4" s="8">
        <v>67.13324735485438</v>
      </c>
      <c r="E4" s="8">
        <v>67.60145708066416</v>
      </c>
      <c r="F4" s="8">
        <v>69.6135059377663</v>
      </c>
      <c r="G4" s="8">
        <v>72.31222039665508</v>
      </c>
      <c r="H4" s="8">
        <v>76.60381505575364</v>
      </c>
      <c r="I4" s="8">
        <v>71.46785304238527</v>
      </c>
      <c r="J4" s="8">
        <v>68.84451756035944</v>
      </c>
      <c r="K4" s="8">
        <v>71.85432243144903</v>
      </c>
      <c r="L4" s="8">
        <v>59.99846699829038</v>
      </c>
      <c r="M4" s="8">
        <v>51.74522322987214</v>
      </c>
      <c r="N4" s="8">
        <v>49.253616441111625</v>
      </c>
      <c r="O4" s="8">
        <v>44.28721841906904</v>
      </c>
      <c r="P4" s="8">
        <v>49.841091593812315</v>
      </c>
      <c r="Q4" s="8">
        <v>49.0635361450778</v>
      </c>
      <c r="R4" s="8">
        <v>53.805643456054035</v>
      </c>
      <c r="S4" s="8">
        <v>58.31341938821819</v>
      </c>
      <c r="T4" s="8">
        <v>59.59106378844622</v>
      </c>
      <c r="U4" s="8">
        <v>54.61916655819048</v>
      </c>
      <c r="V4" s="8">
        <v>50.20625118959117</v>
      </c>
      <c r="W4" s="8">
        <v>52.38755257996901</v>
      </c>
      <c r="X4" s="8">
        <v>45.18196512381766</v>
      </c>
      <c r="Y4" s="8">
        <v>43.40950309799397</v>
      </c>
      <c r="Z4" s="8">
        <v>38.14082063630664</v>
      </c>
      <c r="AA4" s="8">
        <v>37.15317477480874</v>
      </c>
      <c r="AB4" s="8">
        <v>39.76249338089022</v>
      </c>
      <c r="AC4" s="8">
        <v>41.9567040373536</v>
      </c>
      <c r="AD4" s="8">
        <v>46.55534393766412</v>
      </c>
      <c r="AE4" s="8">
        <v>49.0067986099969</v>
      </c>
      <c r="AF4" s="8">
        <v>51.035712820529</v>
      </c>
      <c r="AG4" s="8">
        <v>48.44005912689024</v>
      </c>
      <c r="AH4" s="8">
        <v>48.27628126721106</v>
      </c>
      <c r="AI4" s="8">
        <v>47.88833688693353</v>
      </c>
      <c r="AJ4" s="8">
        <v>46.53845253978477</v>
      </c>
      <c r="AK4" s="8">
        <v>45.294332801617934</v>
      </c>
      <c r="AL4" s="8">
        <v>46.471636381742314</v>
      </c>
      <c r="AM4" s="8">
        <v>46.36289920638098</v>
      </c>
      <c r="AN4" s="8">
        <v>48.2788585201238</v>
      </c>
      <c r="AO4" s="8">
        <v>45.383982693962</v>
      </c>
      <c r="AP4" s="8">
        <v>48.98702415700526</v>
      </c>
      <c r="AQ4" s="8">
        <v>50.14617313570545</v>
      </c>
      <c r="AR4" s="8">
        <v>50.78311723670852</v>
      </c>
      <c r="AS4" s="8">
        <v>52.47570012685859</v>
      </c>
      <c r="AT4" s="8">
        <v>49.398854859380606</v>
      </c>
      <c r="AU4" s="8">
        <v>51.41524307154293</v>
      </c>
      <c r="AV4" s="8">
        <v>47.67287651203299</v>
      </c>
      <c r="AW4" s="8">
        <v>48.909415189396086</v>
      </c>
      <c r="AX4" s="8">
        <v>45.55622923313617</v>
      </c>
      <c r="AY4" s="8">
        <v>39.44559696340801</v>
      </c>
      <c r="AZ4" s="8">
        <v>48.6206315350051</v>
      </c>
      <c r="BA4" s="8">
        <v>49.5044745669392</v>
      </c>
      <c r="BB4" s="8">
        <v>53.88881929144134</v>
      </c>
      <c r="BC4" s="8">
        <v>58.16720055843125</v>
      </c>
      <c r="BD4" s="8">
        <v>61.28352247102378</v>
      </c>
      <c r="BE4" s="8">
        <v>61.339306569008635</v>
      </c>
      <c r="BF4" s="8">
        <v>58.38400183984095</v>
      </c>
      <c r="BG4" s="8">
        <v>59.58651617266774</v>
      </c>
      <c r="BH4" s="8">
        <v>59.22778393028002</v>
      </c>
      <c r="BI4" s="8">
        <v>55.4337559952658</v>
      </c>
      <c r="BJ4" s="8">
        <v>52.190330869022546</v>
      </c>
      <c r="BK4" s="8">
        <v>51.52790277674018</v>
      </c>
      <c r="BL4" s="8">
        <v>57.98445783050662</v>
      </c>
      <c r="BM4" s="8">
        <v>55.4644236606704</v>
      </c>
      <c r="BN4" s="8">
        <v>60.02370090776619</v>
      </c>
      <c r="BO4" s="8">
        <v>61.5349660998069</v>
      </c>
      <c r="BP4" s="8">
        <v>59.98807226470306</v>
      </c>
      <c r="BQ4" s="8">
        <v>60.825840739301235</v>
      </c>
      <c r="BR4" s="8">
        <v>56.7118151499807</v>
      </c>
      <c r="BS4" s="8">
        <v>56.05647522681712</v>
      </c>
      <c r="BT4" s="8">
        <v>52.702007985888095</v>
      </c>
      <c r="BU4" s="8">
        <v>49.382459196005115</v>
      </c>
      <c r="BV4" s="8">
        <v>48.7757862368711</v>
      </c>
      <c r="BW4" s="8">
        <v>48.40150928773677</v>
      </c>
      <c r="BX4" s="8">
        <v>47.48788028647681</v>
      </c>
      <c r="BY4" s="8">
        <v>45.72858308149865</v>
      </c>
      <c r="BZ4" s="8">
        <v>47.781963929267434</v>
      </c>
      <c r="CA4" s="8">
        <v>51.69792349033257</v>
      </c>
      <c r="CB4" s="8">
        <v>55.07713108306544</v>
      </c>
      <c r="CC4" s="8">
        <v>54.659960324818194</v>
      </c>
      <c r="CD4" s="8">
        <v>54.4060988484696</v>
      </c>
      <c r="CE4" s="8">
        <v>56.600996892386135</v>
      </c>
      <c r="CF4" s="8">
        <v>51.923887501673505</v>
      </c>
      <c r="CG4" s="8">
        <v>53.65260005008064</v>
      </c>
      <c r="CH4" s="8">
        <v>50.9845719432602</v>
      </c>
      <c r="CI4" s="8">
        <v>50.48159258986845</v>
      </c>
      <c r="CJ4" s="8">
        <v>54.315143300845065</v>
      </c>
      <c r="CK4" s="8">
        <v>55.19886020430942</v>
      </c>
      <c r="CL4" s="8">
        <v>60.382442542028556</v>
      </c>
      <c r="CM4" s="20">
        <v>59.539643215816746</v>
      </c>
      <c r="CN4" s="20">
        <v>63.78240299696968</v>
      </c>
      <c r="CO4" s="8">
        <v>66.78840156703065</v>
      </c>
      <c r="CP4" s="8">
        <v>70.7846335076612</v>
      </c>
      <c r="CQ4" s="8">
        <v>68.70517773398214</v>
      </c>
      <c r="CR4" s="8">
        <v>70.3109729832195</v>
      </c>
      <c r="CS4" s="8">
        <v>71.63613865998498</v>
      </c>
      <c r="CT4" s="8">
        <v>67.07218281482731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</row>
    <row r="5" spans="1:112" s="2" customFormat="1" ht="15" customHeight="1">
      <c r="A5" s="9" t="s">
        <v>2</v>
      </c>
      <c r="B5" s="8">
        <v>310.161869796142</v>
      </c>
      <c r="C5" s="8">
        <v>272.131975132807</v>
      </c>
      <c r="D5" s="8">
        <v>306.770839590832</v>
      </c>
      <c r="E5" s="8">
        <v>300.906638601786</v>
      </c>
      <c r="F5" s="8">
        <v>322.030847618568</v>
      </c>
      <c r="G5" s="8">
        <v>320.461669199787</v>
      </c>
      <c r="H5" s="8">
        <v>319.978423851174</v>
      </c>
      <c r="I5" s="8">
        <v>313.178318314459</v>
      </c>
      <c r="J5" s="8">
        <v>300.656228003859</v>
      </c>
      <c r="K5" s="8">
        <v>303.791262709414</v>
      </c>
      <c r="L5" s="8">
        <v>274.721163761305</v>
      </c>
      <c r="M5" s="8">
        <v>280.516011528047</v>
      </c>
      <c r="N5" s="8">
        <v>210.170439706754</v>
      </c>
      <c r="O5" s="8">
        <v>198.42592843990028</v>
      </c>
      <c r="P5" s="8">
        <v>246.370713235919</v>
      </c>
      <c r="Q5" s="8">
        <v>242.162357150865</v>
      </c>
      <c r="R5" s="8">
        <v>247.357244012583</v>
      </c>
      <c r="S5" s="8">
        <v>306.858187255943</v>
      </c>
      <c r="T5" s="8">
        <v>309.19913153539216</v>
      </c>
      <c r="U5" s="8">
        <v>315.004586702466</v>
      </c>
      <c r="V5" s="8">
        <v>319.691643123676</v>
      </c>
      <c r="W5" s="8">
        <v>333.491583731531</v>
      </c>
      <c r="X5" s="8">
        <v>281.664339924253</v>
      </c>
      <c r="Y5" s="8">
        <v>275.727564597817</v>
      </c>
      <c r="Z5" s="8">
        <v>268.813065145338</v>
      </c>
      <c r="AA5" s="8">
        <v>266.573867516104</v>
      </c>
      <c r="AB5" s="8">
        <v>321.971547717436</v>
      </c>
      <c r="AC5" s="8">
        <v>318.887571980544</v>
      </c>
      <c r="AD5" s="8">
        <v>343.670535175168</v>
      </c>
      <c r="AE5" s="8">
        <v>340.191524760819</v>
      </c>
      <c r="AF5" s="8">
        <v>350.96771287374</v>
      </c>
      <c r="AG5" s="8">
        <v>267.563680318317</v>
      </c>
      <c r="AH5" s="8">
        <v>323.693801988703</v>
      </c>
      <c r="AI5" s="8">
        <v>280.503567910283</v>
      </c>
      <c r="AJ5" s="8">
        <v>246.561221541935</v>
      </c>
      <c r="AK5" s="8">
        <v>240.546208470364</v>
      </c>
      <c r="AL5" s="8">
        <v>116.274439691858</v>
      </c>
      <c r="AM5" s="8">
        <v>104.99134699289742</v>
      </c>
      <c r="AN5" s="8">
        <v>153.17316109797113</v>
      </c>
      <c r="AO5" s="8">
        <v>188.89892426032966</v>
      </c>
      <c r="AP5" s="8">
        <v>290.710566532007</v>
      </c>
      <c r="AQ5" s="8">
        <v>261.78385528631156</v>
      </c>
      <c r="AR5" s="8">
        <v>292.7816977765846</v>
      </c>
      <c r="AS5" s="8">
        <v>288.92323865460514</v>
      </c>
      <c r="AT5" s="8">
        <v>283.07135059809036</v>
      </c>
      <c r="AU5" s="8">
        <v>292.39190356789675</v>
      </c>
      <c r="AV5" s="8">
        <v>264.1869587828433</v>
      </c>
      <c r="AW5" s="8">
        <v>233.46640705134675</v>
      </c>
      <c r="AX5" s="8">
        <v>257.9369341364822</v>
      </c>
      <c r="AY5" s="8">
        <v>244.537626582147</v>
      </c>
      <c r="AZ5" s="8">
        <v>269.08285555647626</v>
      </c>
      <c r="BA5" s="8">
        <v>258.6763999558456</v>
      </c>
      <c r="BB5" s="8">
        <v>293.9349604169418</v>
      </c>
      <c r="BC5" s="8">
        <v>296.9191214389739</v>
      </c>
      <c r="BD5" s="8">
        <v>328.4468672088353</v>
      </c>
      <c r="BE5" s="8">
        <v>315.28729016180324</v>
      </c>
      <c r="BF5" s="8">
        <v>317.24817036697874</v>
      </c>
      <c r="BG5" s="8">
        <v>311.76161138957997</v>
      </c>
      <c r="BH5" s="8">
        <v>290.65962269996567</v>
      </c>
      <c r="BI5" s="8">
        <v>286.95525207917643</v>
      </c>
      <c r="BJ5" s="8">
        <v>246.35141792024157</v>
      </c>
      <c r="BK5" s="8">
        <v>232.73876396775893</v>
      </c>
      <c r="BL5" s="8">
        <v>328.33973844411327</v>
      </c>
      <c r="BM5" s="8">
        <v>310.9236346758367</v>
      </c>
      <c r="BN5" s="8">
        <v>340.613533158765</v>
      </c>
      <c r="BO5" s="8">
        <v>318.48869490710575</v>
      </c>
      <c r="BP5" s="8">
        <v>403.9624139223293</v>
      </c>
      <c r="BQ5" s="8">
        <v>362.08560628226564</v>
      </c>
      <c r="BR5" s="8">
        <v>386.505970198125</v>
      </c>
      <c r="BS5" s="8">
        <v>393.8828969124715</v>
      </c>
      <c r="BT5" s="8">
        <v>344.5760579606843</v>
      </c>
      <c r="BU5" s="8">
        <v>352.82292541869833</v>
      </c>
      <c r="BV5" s="8">
        <v>335.8801836914131</v>
      </c>
      <c r="BW5" s="8">
        <v>355.46218405754814</v>
      </c>
      <c r="BX5" s="8">
        <v>339.96531933459386</v>
      </c>
      <c r="BY5" s="8">
        <v>316.2819407995513</v>
      </c>
      <c r="BZ5" s="8">
        <v>412.7057328806453</v>
      </c>
      <c r="CA5" s="8">
        <v>432.01045500000004</v>
      </c>
      <c r="CB5" s="8">
        <v>473.148604</v>
      </c>
      <c r="CC5" s="8">
        <v>430.28711137689163</v>
      </c>
      <c r="CD5" s="8">
        <v>412.99915806201136</v>
      </c>
      <c r="CE5" s="8">
        <v>470.4014376707115</v>
      </c>
      <c r="CF5" s="8">
        <v>470.6843666064484</v>
      </c>
      <c r="CG5" s="8">
        <v>497.4590277564951</v>
      </c>
      <c r="CH5" s="8">
        <v>384.443927420117</v>
      </c>
      <c r="CI5" s="8">
        <v>378.333389373496</v>
      </c>
      <c r="CJ5" s="8">
        <v>463.4348098357668</v>
      </c>
      <c r="CK5" s="20">
        <v>491.39678764250414</v>
      </c>
      <c r="CL5" s="8">
        <v>535.575229398731</v>
      </c>
      <c r="CM5" s="8">
        <v>531.5656702682066</v>
      </c>
      <c r="CN5" s="8">
        <v>557.0029083378097</v>
      </c>
      <c r="CO5" s="8">
        <v>541.8315413372716</v>
      </c>
      <c r="CP5" s="8">
        <v>439.61734120094314</v>
      </c>
      <c r="CQ5" s="8">
        <v>462.10421281181806</v>
      </c>
      <c r="CR5" s="8">
        <v>416.85634698438076</v>
      </c>
      <c r="CS5" s="8">
        <v>429.6468006086511</v>
      </c>
      <c r="CT5" s="8">
        <v>437.7640736168716</v>
      </c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</row>
    <row r="6" spans="1:112" s="2" customFormat="1" ht="15" customHeight="1">
      <c r="A6" s="9" t="s">
        <v>3</v>
      </c>
      <c r="B6" s="20">
        <f aca="true" t="shared" si="3" ref="B6:AG6">+(B7/B5)*100</f>
        <v>18.016437998753762</v>
      </c>
      <c r="C6" s="20">
        <f t="shared" si="3"/>
        <v>18.220986385101284</v>
      </c>
      <c r="D6" s="20">
        <f t="shared" si="3"/>
        <v>18.286439710032738</v>
      </c>
      <c r="E6" s="20">
        <f t="shared" si="3"/>
        <v>18.210415857010343</v>
      </c>
      <c r="F6" s="20">
        <f t="shared" si="3"/>
        <v>18.13356685972181</v>
      </c>
      <c r="G6" s="20">
        <f t="shared" si="3"/>
        <v>18.39195559031623</v>
      </c>
      <c r="H6" s="20">
        <f t="shared" si="3"/>
        <v>18.690716913177134</v>
      </c>
      <c r="I6" s="20">
        <f t="shared" si="3"/>
        <v>18.14386568798157</v>
      </c>
      <c r="J6" s="20">
        <f t="shared" si="3"/>
        <v>18.063313745021556</v>
      </c>
      <c r="K6" s="20">
        <f t="shared" si="3"/>
        <v>17.32064382024007</v>
      </c>
      <c r="L6" s="20">
        <f t="shared" si="3"/>
        <v>15.900859711689014</v>
      </c>
      <c r="M6" s="20">
        <f t="shared" si="3"/>
        <v>14.585804658416986</v>
      </c>
      <c r="N6" s="20">
        <f t="shared" si="3"/>
        <v>13.262241369820604</v>
      </c>
      <c r="O6" s="20">
        <f t="shared" si="3"/>
        <v>12.599465705096973</v>
      </c>
      <c r="P6" s="20">
        <f t="shared" si="3"/>
        <v>13.02327170406816</v>
      </c>
      <c r="Q6" s="20">
        <f t="shared" si="3"/>
        <v>12.77661019469957</v>
      </c>
      <c r="R6" s="20">
        <f t="shared" si="3"/>
        <v>13.158644611871534</v>
      </c>
      <c r="S6" s="20">
        <f t="shared" si="3"/>
        <v>13.833341313149516</v>
      </c>
      <c r="T6" s="20">
        <f t="shared" si="3"/>
        <v>13.480615789434843</v>
      </c>
      <c r="U6" s="20">
        <f t="shared" si="3"/>
        <v>12.387645224782247</v>
      </c>
      <c r="V6" s="20">
        <f t="shared" si="3"/>
        <v>11.620128074256476</v>
      </c>
      <c r="W6" s="20">
        <f t="shared" si="3"/>
        <v>11.652481092436417</v>
      </c>
      <c r="X6" s="20">
        <f t="shared" si="3"/>
        <v>11.772633467139453</v>
      </c>
      <c r="Y6" s="20">
        <f t="shared" si="3"/>
        <v>11.378053581731166</v>
      </c>
      <c r="Z6" s="20">
        <f t="shared" si="3"/>
        <v>10.40426850581669</v>
      </c>
      <c r="AA6" s="20">
        <f t="shared" si="3"/>
        <v>9.865118541591823</v>
      </c>
      <c r="AB6" s="20">
        <f t="shared" si="3"/>
        <v>9.493024748104014</v>
      </c>
      <c r="AC6" s="20">
        <f t="shared" si="3"/>
        <v>9.95181268428389</v>
      </c>
      <c r="AD6" s="20">
        <f t="shared" si="3"/>
        <v>10.265324379924628</v>
      </c>
      <c r="AE6" s="20">
        <f t="shared" si="3"/>
        <v>10.89579681837329</v>
      </c>
      <c r="AF6" s="20">
        <f t="shared" si="3"/>
        <v>10.747027764072104</v>
      </c>
      <c r="AG6" s="20">
        <f t="shared" si="3"/>
        <v>10.687209464568646</v>
      </c>
      <c r="AH6" s="20">
        <f aca="true" t="shared" si="4" ref="AH6:BM6">+(AH7/AH5)*100</f>
        <v>9.985151054342717</v>
      </c>
      <c r="AI6" s="20">
        <f t="shared" si="4"/>
        <v>10.611400706832518</v>
      </c>
      <c r="AJ6" s="20">
        <f t="shared" si="4"/>
        <v>11.832222447100078</v>
      </c>
      <c r="AK6" s="20">
        <f t="shared" si="4"/>
        <v>11.334342601707956</v>
      </c>
      <c r="AL6" s="20">
        <f t="shared" si="4"/>
        <v>12.374427605563389</v>
      </c>
      <c r="AM6" s="20">
        <f t="shared" si="4"/>
        <v>12.755718957422799</v>
      </c>
      <c r="AN6" s="20">
        <f t="shared" si="4"/>
        <v>11.39453198174472</v>
      </c>
      <c r="AO6" s="20">
        <f t="shared" si="4"/>
        <v>11.560985315334944</v>
      </c>
      <c r="AP6" s="20">
        <f t="shared" si="4"/>
        <v>11.069554720762401</v>
      </c>
      <c r="AQ6" s="20">
        <f t="shared" si="4"/>
        <v>11.121420838700146</v>
      </c>
      <c r="AR6" s="20">
        <f t="shared" si="4"/>
        <v>10.514812818282532</v>
      </c>
      <c r="AS6" s="20">
        <f t="shared" si="4"/>
        <v>10.605636269421112</v>
      </c>
      <c r="AT6" s="20">
        <f t="shared" si="4"/>
        <v>10.58520775007561</v>
      </c>
      <c r="AU6" s="20">
        <f t="shared" si="4"/>
        <v>10.695091614786614</v>
      </c>
      <c r="AV6" s="20">
        <f t="shared" si="4"/>
        <v>10.764555100404312</v>
      </c>
      <c r="AW6" s="20">
        <f t="shared" si="4"/>
        <v>10.976367192736387</v>
      </c>
      <c r="AX6" s="20">
        <f t="shared" si="4"/>
        <v>10.906382829616328</v>
      </c>
      <c r="AY6" s="20">
        <f t="shared" si="4"/>
        <v>10.710372782599025</v>
      </c>
      <c r="AZ6" s="20">
        <f t="shared" si="4"/>
        <v>10.982041107723168</v>
      </c>
      <c r="BA6" s="20">
        <f t="shared" si="4"/>
        <v>10.720549237253483</v>
      </c>
      <c r="BB6" s="20">
        <f t="shared" si="4"/>
        <v>11.032735097384375</v>
      </c>
      <c r="BC6" s="20">
        <f t="shared" si="4"/>
        <v>11.36816793877831</v>
      </c>
      <c r="BD6" s="20">
        <f t="shared" si="4"/>
        <v>11.553922809256747</v>
      </c>
      <c r="BE6" s="20">
        <f t="shared" si="4"/>
        <v>11.504897419978438</v>
      </c>
      <c r="BF6" s="20">
        <f t="shared" si="4"/>
        <v>11.903901739356108</v>
      </c>
      <c r="BG6" s="20">
        <f t="shared" si="4"/>
        <v>11.357664715087369</v>
      </c>
      <c r="BH6" s="20">
        <f t="shared" si="4"/>
        <v>11.704815687352859</v>
      </c>
      <c r="BI6" s="20">
        <f t="shared" si="4"/>
        <v>11.704480004181635</v>
      </c>
      <c r="BJ6" s="20">
        <f t="shared" si="4"/>
        <v>12.008402162637417</v>
      </c>
      <c r="BK6" s="20">
        <f t="shared" si="4"/>
        <v>11.693478376307489</v>
      </c>
      <c r="BL6" s="20">
        <f t="shared" si="4"/>
        <v>11.90693633089737</v>
      </c>
      <c r="BM6" s="20">
        <f t="shared" si="4"/>
        <v>11.380057905826375</v>
      </c>
      <c r="BN6" s="20">
        <f aca="true" t="shared" si="5" ref="BN6:CS6">+(BN7/BN5)*100</f>
        <v>11.377289675969545</v>
      </c>
      <c r="BO6" s="20">
        <f t="shared" si="5"/>
        <v>11.056261954241263</v>
      </c>
      <c r="BP6" s="20">
        <f t="shared" si="5"/>
        <v>9.466169022653887</v>
      </c>
      <c r="BQ6" s="20">
        <f t="shared" si="5"/>
        <v>10.308398073402126</v>
      </c>
      <c r="BR6" s="20">
        <f t="shared" si="5"/>
        <v>10.331316782475799</v>
      </c>
      <c r="BS6" s="20">
        <f t="shared" si="5"/>
        <v>10.021084443113285</v>
      </c>
      <c r="BT6" s="20">
        <f t="shared" si="5"/>
        <v>10.302925230019206</v>
      </c>
      <c r="BU6" s="20">
        <f t="shared" si="5"/>
        <v>10.276294497704033</v>
      </c>
      <c r="BV6" s="20">
        <f t="shared" si="5"/>
        <v>10.335984259181084</v>
      </c>
      <c r="BW6" s="20">
        <f t="shared" si="5"/>
        <v>10.188957716618209</v>
      </c>
      <c r="BX6" s="20">
        <f t="shared" si="5"/>
        <v>10.076975558818436</v>
      </c>
      <c r="BY6" s="20">
        <f t="shared" si="5"/>
        <v>10.12242600043399</v>
      </c>
      <c r="BZ6" s="20">
        <f t="shared" si="5"/>
        <v>9.617763961619776</v>
      </c>
      <c r="CA6" s="20">
        <f t="shared" si="5"/>
        <v>9.589773994952038</v>
      </c>
      <c r="CB6" s="20">
        <f t="shared" si="5"/>
        <v>9.510113674675031</v>
      </c>
      <c r="CC6" s="20">
        <f t="shared" si="5"/>
        <v>9.702915431007135</v>
      </c>
      <c r="CD6" s="20">
        <f t="shared" si="5"/>
        <v>9.73445533707347</v>
      </c>
      <c r="CE6" s="20">
        <f t="shared" si="5"/>
        <v>9.803187057080436</v>
      </c>
      <c r="CF6" s="20">
        <f t="shared" si="5"/>
        <v>9.880305518244882</v>
      </c>
      <c r="CG6" s="20">
        <f t="shared" si="5"/>
        <v>9.890569132042753</v>
      </c>
      <c r="CH6" s="20">
        <f t="shared" si="5"/>
        <v>10.282187692600143</v>
      </c>
      <c r="CI6" s="20">
        <f t="shared" si="5"/>
        <v>10.424863239172542</v>
      </c>
      <c r="CJ6" s="20">
        <f t="shared" si="5"/>
        <v>10.216821614813352</v>
      </c>
      <c r="CK6" s="20">
        <f t="shared" si="5"/>
        <v>10.413624625384585</v>
      </c>
      <c r="CL6" s="20">
        <f t="shared" si="5"/>
        <v>10.34575576826494</v>
      </c>
      <c r="CM6" s="20">
        <f t="shared" si="5"/>
        <v>10.501563295088884</v>
      </c>
      <c r="CN6" s="20">
        <f t="shared" si="5"/>
        <v>10.707897156419634</v>
      </c>
      <c r="CO6" s="20">
        <f t="shared" si="5"/>
        <v>10.918478477966504</v>
      </c>
      <c r="CP6" s="20">
        <f t="shared" si="5"/>
        <v>11.587667474686675</v>
      </c>
      <c r="CQ6" s="8">
        <f t="shared" si="5"/>
        <v>11.87171304463368</v>
      </c>
      <c r="CR6" s="8">
        <f t="shared" si="5"/>
        <v>12.597645219234794</v>
      </c>
      <c r="CS6" s="8">
        <f t="shared" si="5"/>
        <v>13.721275915759223</v>
      </c>
      <c r="CT6" s="8">
        <f>+(CT7/CT5)*100</f>
        <v>13.507026939837443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</row>
    <row r="7" spans="1:112" s="2" customFormat="1" ht="15" customHeight="1">
      <c r="A7" s="9" t="s">
        <v>4</v>
      </c>
      <c r="B7" s="8">
        <v>55.8801209675973</v>
      </c>
      <c r="C7" s="8">
        <v>49.58513013845597</v>
      </c>
      <c r="D7" s="8">
        <v>56.09746462973873</v>
      </c>
      <c r="E7" s="8">
        <v>54.796350230736444</v>
      </c>
      <c r="F7" s="8">
        <v>58.395679061841875</v>
      </c>
      <c r="G7" s="8">
        <v>58.939167883210935</v>
      </c>
      <c r="H7" s="8">
        <v>59.806261385268996</v>
      </c>
      <c r="I7" s="8">
        <v>56.82265343885482</v>
      </c>
      <c r="J7" s="8">
        <v>54.308477758284404</v>
      </c>
      <c r="K7" s="8">
        <v>52.61860257090739</v>
      </c>
      <c r="L7" s="8">
        <v>43.683026848004545</v>
      </c>
      <c r="M7" s="8">
        <v>40.91551747706341</v>
      </c>
      <c r="N7" s="8">
        <v>27.873311001922996</v>
      </c>
      <c r="O7" s="8">
        <v>25.0006068038055</v>
      </c>
      <c r="P7" s="8">
        <v>32.08552738396435</v>
      </c>
      <c r="Q7" s="8">
        <v>30.9401404114622</v>
      </c>
      <c r="R7" s="8">
        <v>32.548860661335674</v>
      </c>
      <c r="S7" s="8">
        <v>42.44874039045806</v>
      </c>
      <c r="T7" s="8">
        <v>41.681946946555485</v>
      </c>
      <c r="U7" s="8">
        <v>39.02165064249308</v>
      </c>
      <c r="V7" s="8">
        <v>37.1485783736661</v>
      </c>
      <c r="W7" s="8">
        <v>38.86004373918342</v>
      </c>
      <c r="X7" s="8">
        <v>33.15931034692004</v>
      </c>
      <c r="Y7" s="8">
        <v>31.372430039542028</v>
      </c>
      <c r="Z7" s="8">
        <v>27.9680330764369</v>
      </c>
      <c r="AA7" s="8">
        <v>26.297828031369594</v>
      </c>
      <c r="AB7" s="8">
        <v>30.564838706669725</v>
      </c>
      <c r="AC7" s="8">
        <v>31.7350938369647</v>
      </c>
      <c r="AD7" s="8">
        <v>35.27889523395397</v>
      </c>
      <c r="AE7" s="8">
        <v>37.066577331264895</v>
      </c>
      <c r="AF7" s="8">
        <v>37.718597545469706</v>
      </c>
      <c r="AG7" s="8">
        <v>28.59509096672737</v>
      </c>
      <c r="AH7" s="8">
        <v>32.321315082117</v>
      </c>
      <c r="AI7" s="8">
        <v>29.7653575879222</v>
      </c>
      <c r="AJ7" s="8">
        <v>29.173672201128987</v>
      </c>
      <c r="AK7" s="8">
        <v>27.264331383449697</v>
      </c>
      <c r="AL7" s="8">
        <v>14.38829636344343</v>
      </c>
      <c r="AM7" s="8">
        <v>13.392401152026567</v>
      </c>
      <c r="AN7" s="8">
        <v>17.45336482875768</v>
      </c>
      <c r="AO7" s="8">
        <v>21.83857689456239</v>
      </c>
      <c r="AP7" s="8">
        <v>32.1803652412989</v>
      </c>
      <c r="AQ7" s="8">
        <v>29.11408423416449</v>
      </c>
      <c r="AR7" s="8">
        <v>30.785447487397544</v>
      </c>
      <c r="AS7" s="8">
        <v>30.64214778953892</v>
      </c>
      <c r="AT7" s="8">
        <v>29.96369054175276</v>
      </c>
      <c r="AU7" s="8">
        <v>31.27158196080509</v>
      </c>
      <c r="AV7" s="8">
        <v>28.438550746261598</v>
      </c>
      <c r="AW7" s="8">
        <v>25.626130109644414</v>
      </c>
      <c r="AX7" s="8">
        <v>28.131589495900073</v>
      </c>
      <c r="AY7" s="8">
        <v>26.190891400667912</v>
      </c>
      <c r="AZ7" s="8">
        <v>29.550789811047576</v>
      </c>
      <c r="BA7" s="8">
        <v>27.731530822421178</v>
      </c>
      <c r="BB7" s="8">
        <v>32.42906554140281</v>
      </c>
      <c r="BC7" s="8">
        <v>33.75426436752767</v>
      </c>
      <c r="BD7" s="8">
        <v>37.94849750673084</v>
      </c>
      <c r="BE7" s="8">
        <v>36.27347931134523</v>
      </c>
      <c r="BF7" s="8">
        <v>37.76491047039021</v>
      </c>
      <c r="BG7" s="8">
        <v>35.40883853198213</v>
      </c>
      <c r="BH7" s="8">
        <v>34.02117311458621</v>
      </c>
      <c r="BI7" s="8">
        <v>33.58662010055621</v>
      </c>
      <c r="BJ7" s="8">
        <v>29.582868997222228</v>
      </c>
      <c r="BK7" s="8">
        <v>27.215257037855217</v>
      </c>
      <c r="BL7" s="8">
        <v>39.09520360557552</v>
      </c>
      <c r="BM7" s="8">
        <v>35.38328966901027</v>
      </c>
      <c r="BN7" s="8">
        <v>38.75258834302727</v>
      </c>
      <c r="BO7" s="8">
        <v>35.212944403573864</v>
      </c>
      <c r="BP7" s="8">
        <v>38.239764889880405</v>
      </c>
      <c r="BQ7" s="8">
        <v>37.325225662067474</v>
      </c>
      <c r="BR7" s="8">
        <v>39.9311561643498</v>
      </c>
      <c r="BS7" s="8">
        <v>39.47133770657962</v>
      </c>
      <c r="BT7" s="8">
        <v>35.501413612236945</v>
      </c>
      <c r="BU7" s="8">
        <v>36.257122871440096</v>
      </c>
      <c r="BV7" s="8">
        <v>34.716522916052966</v>
      </c>
      <c r="BW7" s="8">
        <v>36.21789163219117</v>
      </c>
      <c r="BX7" s="8">
        <v>34.258222137806065</v>
      </c>
      <c r="BY7" s="8">
        <v>32.01540541017102</v>
      </c>
      <c r="BZ7" s="8">
        <v>39.693063244533484</v>
      </c>
      <c r="CA7" s="8">
        <v>41.42882626906398</v>
      </c>
      <c r="CB7" s="8">
        <v>44.99697009053801</v>
      </c>
      <c r="CC7" s="8">
        <v>41.750394527423275</v>
      </c>
      <c r="CD7" s="8">
        <v>40.20321858403596</v>
      </c>
      <c r="CE7" s="8">
        <v>46.11433285405548</v>
      </c>
      <c r="CF7" s="8">
        <v>46.505053447332884</v>
      </c>
      <c r="CG7" s="8">
        <v>49.20152904384389</v>
      </c>
      <c r="CH7" s="8">
        <v>39.5292461901399</v>
      </c>
      <c r="CI7" s="8">
        <v>39.4407384303131</v>
      </c>
      <c r="CJ7" s="8">
        <v>47.34830782186978</v>
      </c>
      <c r="CK7" s="8">
        <v>51.1722168862886</v>
      </c>
      <c r="CL7" s="8">
        <v>55.4093051889174</v>
      </c>
      <c r="CM7" s="8">
        <v>55.822705318179196</v>
      </c>
      <c r="CN7" s="8">
        <v>59.64329858307898</v>
      </c>
      <c r="CO7" s="8">
        <v>59.15976022774418</v>
      </c>
      <c r="CP7" s="8">
        <v>50.94139565942404</v>
      </c>
      <c r="CQ7" s="8">
        <v>54.85968611218239</v>
      </c>
      <c r="CR7" s="8">
        <v>52.51408366695465</v>
      </c>
      <c r="CS7" s="8">
        <v>58.953022974744904</v>
      </c>
      <c r="CT7" s="8">
        <v>59.12891135636066</v>
      </c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</row>
    <row r="8" spans="1:112" s="2" customFormat="1" ht="15" customHeight="1">
      <c r="A8" s="9" t="s">
        <v>5</v>
      </c>
      <c r="B8" s="8">
        <v>45.2515672338579</v>
      </c>
      <c r="C8" s="8">
        <v>54.0089091971923</v>
      </c>
      <c r="D8" s="8">
        <v>66.5491813601084</v>
      </c>
      <c r="E8" s="8">
        <v>69.2635057535051</v>
      </c>
      <c r="F8" s="8">
        <v>64.4660526327943</v>
      </c>
      <c r="G8" s="8">
        <v>70.8662311896006</v>
      </c>
      <c r="H8" s="8">
        <v>82.4302597550622</v>
      </c>
      <c r="I8" s="8">
        <v>78.383720186509</v>
      </c>
      <c r="J8" s="8">
        <v>76.6916086368361</v>
      </c>
      <c r="K8" s="8">
        <v>101.988032374281</v>
      </c>
      <c r="L8" s="8">
        <v>93.1686298774853</v>
      </c>
      <c r="M8" s="8">
        <v>86.1522733736588</v>
      </c>
      <c r="N8" s="8">
        <v>147.715540564584</v>
      </c>
      <c r="O8" s="8">
        <v>132.8124500009591</v>
      </c>
      <c r="P8" s="8">
        <v>129.493195993151</v>
      </c>
      <c r="Q8" s="8">
        <v>129.25024675987</v>
      </c>
      <c r="R8" s="8">
        <v>145.567427449183</v>
      </c>
      <c r="S8" s="8">
        <v>96.9016734018605</v>
      </c>
      <c r="T8" s="8">
        <v>114.35371488099997</v>
      </c>
      <c r="U8" s="8">
        <v>107.160257552092</v>
      </c>
      <c r="V8" s="8">
        <v>94.2801713155914</v>
      </c>
      <c r="W8" s="8">
        <v>96.5484331320019</v>
      </c>
      <c r="X8" s="8">
        <v>97.3924155440884</v>
      </c>
      <c r="Y8" s="8">
        <v>113.590887625892</v>
      </c>
      <c r="Z8" s="8">
        <v>108.319874392579</v>
      </c>
      <c r="AA8" s="8">
        <v>99.7205340944261</v>
      </c>
      <c r="AB8" s="8">
        <v>74.5076338720399</v>
      </c>
      <c r="AC8" s="8">
        <v>80.4021666612457</v>
      </c>
      <c r="AD8" s="8">
        <v>95.4110368063484</v>
      </c>
      <c r="AE8" s="8">
        <v>90.6872175486242</v>
      </c>
      <c r="AF8" s="8">
        <v>92.0505414143551</v>
      </c>
      <c r="AG8" s="8">
        <v>172.778897021121</v>
      </c>
      <c r="AH8" s="8">
        <v>116.669975932086</v>
      </c>
      <c r="AI8" s="8">
        <v>153.244585199517</v>
      </c>
      <c r="AJ8" s="8">
        <v>154.69127177522</v>
      </c>
      <c r="AK8" s="8">
        <v>166.432439456423</v>
      </c>
      <c r="AL8" s="8">
        <v>256.590420193073</v>
      </c>
      <c r="AM8" s="8">
        <v>249.08891561766796</v>
      </c>
      <c r="AN8" s="8">
        <v>245.40410407951595</v>
      </c>
      <c r="AO8" s="8">
        <v>196.1585575174278</v>
      </c>
      <c r="AP8" s="8">
        <v>135.591855786348</v>
      </c>
      <c r="AQ8" s="8">
        <v>172.0007506958446</v>
      </c>
      <c r="AR8" s="8">
        <v>161.6406683875973</v>
      </c>
      <c r="AS8" s="8">
        <v>182.89680081017912</v>
      </c>
      <c r="AT8" s="8">
        <v>157.94619789552988</v>
      </c>
      <c r="AU8" s="8">
        <v>157.13211212285407</v>
      </c>
      <c r="AV8" s="8">
        <v>145.28887363198038</v>
      </c>
      <c r="AW8" s="8">
        <v>176.11482435747772</v>
      </c>
      <c r="AX8" s="8">
        <v>133.2737694355637</v>
      </c>
      <c r="AY8" s="8">
        <v>98.65702501044916</v>
      </c>
      <c r="AZ8" s="8">
        <v>134.91881465885692</v>
      </c>
      <c r="BA8" s="8">
        <v>156.54981443994043</v>
      </c>
      <c r="BB8" s="8">
        <v>137.00970938988547</v>
      </c>
      <c r="BC8" s="8">
        <v>143.88750149998836</v>
      </c>
      <c r="BD8" s="8">
        <v>132.80642979116476</v>
      </c>
      <c r="BE8" s="8">
        <v>144.7027448381968</v>
      </c>
      <c r="BF8" s="8">
        <v>108.21885937239699</v>
      </c>
      <c r="BG8" s="8">
        <v>128.62715294375352</v>
      </c>
      <c r="BH8" s="8">
        <v>132.1951752164153</v>
      </c>
      <c r="BI8" s="8">
        <v>133.43895292082348</v>
      </c>
      <c r="BJ8" s="8">
        <v>158.85485934523416</v>
      </c>
      <c r="BK8" s="8">
        <v>150.07700757887216</v>
      </c>
      <c r="BL8" s="8">
        <v>101.3792695558868</v>
      </c>
      <c r="BM8" s="8">
        <v>109.03795616041411</v>
      </c>
      <c r="BN8" s="8">
        <v>119.8989608412352</v>
      </c>
      <c r="BO8" s="8">
        <v>149.32949428467026</v>
      </c>
      <c r="BP8" s="8">
        <v>95.36913507767063</v>
      </c>
      <c r="BQ8" s="8">
        <v>142.16070996202416</v>
      </c>
      <c r="BR8" s="8">
        <v>95.5493585468858</v>
      </c>
      <c r="BS8" s="8">
        <v>102.3655989972511</v>
      </c>
      <c r="BT8" s="8">
        <v>113.94537613999283</v>
      </c>
      <c r="BU8" s="8">
        <v>98.13822095901016</v>
      </c>
      <c r="BV8" s="8">
        <v>95.00278526885525</v>
      </c>
      <c r="BW8" s="8">
        <v>65.19560518344863</v>
      </c>
      <c r="BX8" s="8">
        <v>86.18792827462065</v>
      </c>
      <c r="BY8" s="8">
        <v>104.08441656680849</v>
      </c>
      <c r="BZ8" s="8">
        <v>51.931249</v>
      </c>
      <c r="CA8" s="8">
        <v>63.339726</v>
      </c>
      <c r="CB8" s="8">
        <v>43.706464081720775</v>
      </c>
      <c r="CC8" s="8">
        <v>67.46574030585205</v>
      </c>
      <c r="CD8" s="8">
        <v>74.3017085213946</v>
      </c>
      <c r="CE8" s="8">
        <v>27.353156873774413</v>
      </c>
      <c r="CF8" s="8">
        <v>-32.09584389272892</v>
      </c>
      <c r="CG8" s="8">
        <v>-46.12233052249509</v>
      </c>
      <c r="CH8" s="8">
        <v>42.1201092834181</v>
      </c>
      <c r="CI8" s="8">
        <v>32.6458533831222</v>
      </c>
      <c r="CJ8" s="8">
        <v>-8.276817607079506</v>
      </c>
      <c r="CK8" s="8">
        <v>-39.90186156035589</v>
      </c>
      <c r="CL8" s="8">
        <v>-33.047786700156465</v>
      </c>
      <c r="CM8" s="8">
        <v>-45.645173069191635</v>
      </c>
      <c r="CN8" s="8">
        <v>-35.87717583623696</v>
      </c>
      <c r="CO8" s="8">
        <v>-20.745620059671708</v>
      </c>
      <c r="CP8" s="8">
        <v>97.88571791905649</v>
      </c>
      <c r="CQ8" s="8">
        <v>60.04263878698262</v>
      </c>
      <c r="CR8" s="8">
        <v>86.68538300149274</v>
      </c>
      <c r="CS8" s="8">
        <v>48.11056866024894</v>
      </c>
      <c r="CT8" s="8">
        <v>14.216057503928308</v>
      </c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1:112" ht="15" customHeight="1">
      <c r="A9" s="9" t="s">
        <v>6</v>
      </c>
      <c r="B9" s="20">
        <f aca="true" t="shared" si="6" ref="B9:AG9">+(B10/B8)*100</f>
        <v>15.699293927299118</v>
      </c>
      <c r="C9" s="20">
        <f t="shared" si="6"/>
        <v>17.12196098658277</v>
      </c>
      <c r="D9" s="20">
        <f t="shared" si="6"/>
        <v>16.582897790130925</v>
      </c>
      <c r="E9" s="20">
        <f t="shared" si="6"/>
        <v>18.487523423227415</v>
      </c>
      <c r="F9" s="20">
        <f t="shared" si="6"/>
        <v>17.401138146029183</v>
      </c>
      <c r="G9" s="20">
        <f t="shared" si="6"/>
        <v>18.870839169737863</v>
      </c>
      <c r="H9" s="20">
        <f t="shared" si="6"/>
        <v>20.37789729208404</v>
      </c>
      <c r="I9" s="20">
        <f t="shared" si="6"/>
        <v>18.683981276575203</v>
      </c>
      <c r="J9" s="20">
        <f t="shared" si="6"/>
        <v>18.953885647266446</v>
      </c>
      <c r="K9" s="20">
        <f t="shared" si="6"/>
        <v>18.86076180972822</v>
      </c>
      <c r="L9" s="20">
        <f t="shared" si="6"/>
        <v>17.51173133246704</v>
      </c>
      <c r="M9" s="20">
        <f t="shared" si="6"/>
        <v>12.570423656539203</v>
      </c>
      <c r="N9" s="20">
        <f t="shared" si="6"/>
        <v>14.473971633228908</v>
      </c>
      <c r="O9" s="20">
        <f t="shared" si="6"/>
        <v>14.521689506611967</v>
      </c>
      <c r="P9" s="20">
        <f t="shared" si="6"/>
        <v>13.711580808297505</v>
      </c>
      <c r="Q9" s="20">
        <f t="shared" si="6"/>
        <v>14.021942849584265</v>
      </c>
      <c r="R9" s="20">
        <f t="shared" si="6"/>
        <v>14.602705541484553</v>
      </c>
      <c r="S9" s="20">
        <f t="shared" si="6"/>
        <v>16.371935014958673</v>
      </c>
      <c r="T9" s="20">
        <f t="shared" si="6"/>
        <v>15.661158765613747</v>
      </c>
      <c r="U9" s="20">
        <f t="shared" si="6"/>
        <v>14.55531768213161</v>
      </c>
      <c r="V9" s="20">
        <f t="shared" si="6"/>
        <v>13.849861146535286</v>
      </c>
      <c r="W9" s="20">
        <f t="shared" si="6"/>
        <v>14.011111731135664</v>
      </c>
      <c r="X9" s="20">
        <f t="shared" si="6"/>
        <v>12.344549326282094</v>
      </c>
      <c r="Y9" s="20">
        <f t="shared" si="6"/>
        <v>10.596865039117978</v>
      </c>
      <c r="Z9" s="20">
        <f t="shared" si="6"/>
        <v>9.391432197383196</v>
      </c>
      <c r="AA9" s="20">
        <f t="shared" si="6"/>
        <v>10.885768755670867</v>
      </c>
      <c r="AB9" s="20">
        <f t="shared" si="6"/>
        <v>12.344580274843556</v>
      </c>
      <c r="AC9" s="20">
        <f t="shared" si="6"/>
        <v>12.713102923525785</v>
      </c>
      <c r="AD9" s="20">
        <f t="shared" si="6"/>
        <v>11.818809522631504</v>
      </c>
      <c r="AE9" s="20">
        <f t="shared" si="6"/>
        <v>13.1663773588929</v>
      </c>
      <c r="AF9" s="20">
        <f t="shared" si="6"/>
        <v>14.467177564023013</v>
      </c>
      <c r="AG9" s="20">
        <f t="shared" si="6"/>
        <v>11.48575925782011</v>
      </c>
      <c r="AH9" s="20">
        <f aca="true" t="shared" si="7" ref="AH9:BM9">+(AH10/AH8)*100</f>
        <v>13.675297399891075</v>
      </c>
      <c r="AI9" s="20">
        <f t="shared" si="7"/>
        <v>11.826179225462413</v>
      </c>
      <c r="AJ9" s="20">
        <f t="shared" si="7"/>
        <v>11.225442870421508</v>
      </c>
      <c r="AK9" s="20">
        <f t="shared" si="7"/>
        <v>10.833225467976773</v>
      </c>
      <c r="AL9" s="20">
        <f t="shared" si="7"/>
        <v>12.503717011008275</v>
      </c>
      <c r="AM9" s="20">
        <f t="shared" si="7"/>
        <v>13.236437266827863</v>
      </c>
      <c r="AN9" s="20">
        <f t="shared" si="7"/>
        <v>12.561115799994127</v>
      </c>
      <c r="AO9" s="20">
        <f t="shared" si="7"/>
        <v>12.003251908756354</v>
      </c>
      <c r="AP9" s="20">
        <f t="shared" si="7"/>
        <v>12.39503568871315</v>
      </c>
      <c r="AQ9" s="20">
        <f t="shared" si="7"/>
        <v>12.227905294862804</v>
      </c>
      <c r="AR9" s="20">
        <f t="shared" si="7"/>
        <v>12.371682169340371</v>
      </c>
      <c r="AS9" s="20">
        <f t="shared" si="7"/>
        <v>11.937634907009553</v>
      </c>
      <c r="AT9" s="20">
        <f t="shared" si="7"/>
        <v>12.304926979301403</v>
      </c>
      <c r="AU9" s="20">
        <f t="shared" si="7"/>
        <v>12.819570002972075</v>
      </c>
      <c r="AV9" s="20">
        <f t="shared" si="7"/>
        <v>13.238677735565854</v>
      </c>
      <c r="AW9" s="20">
        <f t="shared" si="7"/>
        <v>13.220514039460571</v>
      </c>
      <c r="AX9" s="20">
        <f t="shared" si="7"/>
        <v>13.074320484092478</v>
      </c>
      <c r="AY9" s="20">
        <f t="shared" si="7"/>
        <v>13.435136080108068</v>
      </c>
      <c r="AZ9" s="20">
        <f t="shared" si="7"/>
        <v>14.134308674572734</v>
      </c>
      <c r="BA9" s="20">
        <f t="shared" si="7"/>
        <v>13.907997158866717</v>
      </c>
      <c r="BB9" s="20">
        <f t="shared" si="7"/>
        <v>15.662943776466959</v>
      </c>
      <c r="BC9" s="20">
        <f t="shared" si="7"/>
        <v>16.966682954673136</v>
      </c>
      <c r="BD9" s="20">
        <f t="shared" si="7"/>
        <v>17.03133213571869</v>
      </c>
      <c r="BE9" s="20">
        <f t="shared" si="7"/>
        <v>16.39457258108026</v>
      </c>
      <c r="BF9" s="20">
        <f t="shared" si="7"/>
        <v>19.05314054225743</v>
      </c>
      <c r="BG9" s="20">
        <f t="shared" si="7"/>
        <v>17.617990124632364</v>
      </c>
      <c r="BH9" s="20">
        <f t="shared" si="7"/>
        <v>19.067723745914584</v>
      </c>
      <c r="BI9" s="20">
        <f t="shared" si="7"/>
        <v>16.068749296585345</v>
      </c>
      <c r="BJ9" s="20">
        <f t="shared" si="7"/>
        <v>14.231520499267985</v>
      </c>
      <c r="BK9" s="20">
        <f t="shared" si="7"/>
        <v>13.858294797783227</v>
      </c>
      <c r="BL9" s="20">
        <f t="shared" si="7"/>
        <v>18.007127468387562</v>
      </c>
      <c r="BM9" s="20">
        <f t="shared" si="7"/>
        <v>18.416645633119938</v>
      </c>
      <c r="BN9" s="20">
        <f aca="true" t="shared" si="8" ref="BN9:CM9">+(BN10/BN8)*100</f>
        <v>18.343209322883556</v>
      </c>
      <c r="BO9" s="20">
        <f t="shared" si="8"/>
        <v>17.626806962899604</v>
      </c>
      <c r="BP9" s="20">
        <f t="shared" si="8"/>
        <v>22.804345826467205</v>
      </c>
      <c r="BQ9" s="20">
        <f t="shared" si="8"/>
        <v>16.531019775795684</v>
      </c>
      <c r="BR9" s="20">
        <f t="shared" si="8"/>
        <v>17.56229370958757</v>
      </c>
      <c r="BS9" s="20">
        <f t="shared" si="8"/>
        <v>16.201866332734376</v>
      </c>
      <c r="BT9" s="20">
        <f t="shared" si="8"/>
        <v>15.095473775538345</v>
      </c>
      <c r="BU9" s="20">
        <f t="shared" si="8"/>
        <v>13.374336926330809</v>
      </c>
      <c r="BV9" s="20">
        <f t="shared" si="8"/>
        <v>14.798790668116487</v>
      </c>
      <c r="BW9" s="20">
        <f t="shared" si="8"/>
        <v>18.687789800038075</v>
      </c>
      <c r="BX9" s="20">
        <f t="shared" si="8"/>
        <v>15.349780895669143</v>
      </c>
      <c r="BY9" s="20">
        <f t="shared" si="8"/>
        <v>13.17505359942674</v>
      </c>
      <c r="BZ9" s="20">
        <f t="shared" si="8"/>
        <v>15.576172036097082</v>
      </c>
      <c r="CA9" s="20">
        <f t="shared" si="8"/>
        <v>16.212727572058952</v>
      </c>
      <c r="CB9" s="20">
        <f t="shared" si="8"/>
        <v>23.063318475790172</v>
      </c>
      <c r="CC9" s="20">
        <f t="shared" si="8"/>
        <v>19.134994648943515</v>
      </c>
      <c r="CD9" s="20">
        <f t="shared" si="8"/>
        <v>19.115146269273247</v>
      </c>
      <c r="CE9" s="20">
        <f t="shared" si="8"/>
        <v>31.288124133547115</v>
      </c>
      <c r="CF9" s="20">
        <f t="shared" si="8"/>
        <v>-16.88328891569735</v>
      </c>
      <c r="CG9" s="20">
        <f t="shared" si="8"/>
        <v>-8.277593850576546</v>
      </c>
      <c r="CH9" s="20">
        <f t="shared" si="8"/>
        <v>27.19680919163723</v>
      </c>
      <c r="CI9" s="20">
        <f t="shared" si="8"/>
        <v>33.82008131318596</v>
      </c>
      <c r="CJ9" s="20">
        <f t="shared" si="8"/>
        <v>-84.1728766986028</v>
      </c>
      <c r="CK9" s="20">
        <f t="shared" si="8"/>
        <v>-10.091367070506461</v>
      </c>
      <c r="CL9" s="20">
        <f t="shared" si="8"/>
        <v>-15.048321989707134</v>
      </c>
      <c r="CM9" s="20">
        <f t="shared" si="8"/>
        <v>-8.143112727392214</v>
      </c>
      <c r="CN9" s="20">
        <f aca="true" t="shared" si="9" ref="CN9:CT9">+_xlfn.IFERROR((CN10/CN8)*100,0)</f>
        <v>-11.536873562132746</v>
      </c>
      <c r="CO9" s="20">
        <f t="shared" si="9"/>
        <v>-36.77229852539399</v>
      </c>
      <c r="CP9" s="20">
        <f t="shared" si="9"/>
        <v>20.271841766176653</v>
      </c>
      <c r="CQ9" s="8">
        <f t="shared" si="9"/>
        <v>23.059432265994097</v>
      </c>
      <c r="CR9" s="8">
        <f t="shared" si="9"/>
        <v>20.530438581506175</v>
      </c>
      <c r="CS9" s="8">
        <f t="shared" si="9"/>
        <v>26.362431454108794</v>
      </c>
      <c r="CT9" s="8">
        <f t="shared" si="9"/>
        <v>55.8753469889362</v>
      </c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ht="15" customHeight="1">
      <c r="A10" s="9" t="s">
        <v>7</v>
      </c>
      <c r="B10" s="8">
        <v>7.10417654675273</v>
      </c>
      <c r="C10" s="8">
        <v>9.24738436202218</v>
      </c>
      <c r="D10" s="8">
        <v>11.035782725115638</v>
      </c>
      <c r="E10" s="8">
        <v>12.805106849927723</v>
      </c>
      <c r="F10" s="8">
        <v>11.21782687592442</v>
      </c>
      <c r="G10" s="8">
        <v>13.37305251344414</v>
      </c>
      <c r="H10" s="8">
        <v>16.79755367048466</v>
      </c>
      <c r="I10" s="8">
        <v>14.64519960353044</v>
      </c>
      <c r="J10" s="8">
        <v>14.536039802075031</v>
      </c>
      <c r="K10" s="8">
        <v>19.235719860541646</v>
      </c>
      <c r="L10" s="8">
        <v>16.31544015028584</v>
      </c>
      <c r="M10" s="8">
        <v>10.829705752808731</v>
      </c>
      <c r="N10" s="8">
        <v>21.38030543918863</v>
      </c>
      <c r="O10" s="8">
        <v>19.286611615263546</v>
      </c>
      <c r="P10" s="8">
        <v>17.755564209847968</v>
      </c>
      <c r="Q10" s="8">
        <v>18.12339573361561</v>
      </c>
      <c r="R10" s="8">
        <v>21.25678279471835</v>
      </c>
      <c r="S10" s="8">
        <v>15.864678997760096</v>
      </c>
      <c r="T10" s="8">
        <v>17.90911684189068</v>
      </c>
      <c r="U10" s="8">
        <v>15.597515915697421</v>
      </c>
      <c r="V10" s="8">
        <v>13.057672815925</v>
      </c>
      <c r="W10" s="8">
        <v>13.527508840785591</v>
      </c>
      <c r="X10" s="8">
        <v>12.022654776897621</v>
      </c>
      <c r="Y10" s="8">
        <v>12.037073058451938</v>
      </c>
      <c r="Z10" s="8">
        <v>10.1727875598697</v>
      </c>
      <c r="AA10" s="8">
        <v>10.855346743439151</v>
      </c>
      <c r="AB10" s="8">
        <v>9.197654674220495</v>
      </c>
      <c r="AC10" s="8">
        <v>10.2216102003889</v>
      </c>
      <c r="AD10" s="8">
        <v>11.276448703710155</v>
      </c>
      <c r="AE10" s="8">
        <v>11.940221278732006</v>
      </c>
      <c r="AF10" s="8">
        <v>13.31711527505929</v>
      </c>
      <c r="AG10" s="8">
        <v>19.84496816016288</v>
      </c>
      <c r="AH10" s="8">
        <v>15.9549661850941</v>
      </c>
      <c r="AI10" s="8">
        <v>18.122979299011327</v>
      </c>
      <c r="AJ10" s="8">
        <v>17.36478033865579</v>
      </c>
      <c r="AK10" s="8">
        <v>18.03000141816824</v>
      </c>
      <c r="AL10" s="8">
        <v>32.08334001829888</v>
      </c>
      <c r="AM10" s="8">
        <v>32.970498054354415</v>
      </c>
      <c r="AN10" s="8">
        <v>30.82549369136611</v>
      </c>
      <c r="AO10" s="8">
        <v>23.545405799399582</v>
      </c>
      <c r="AP10" s="8">
        <v>16.8066589157063</v>
      </c>
      <c r="AQ10" s="8">
        <v>21.032088901540952</v>
      </c>
      <c r="AR10" s="8">
        <v>19.997669749310973</v>
      </c>
      <c r="AS10" s="8">
        <v>21.833552337319674</v>
      </c>
      <c r="AT10" s="8">
        <v>19.43516431762784</v>
      </c>
      <c r="AU10" s="8">
        <v>20.14366111073785</v>
      </c>
      <c r="AV10" s="8">
        <v>19.234325765771395</v>
      </c>
      <c r="AW10" s="8">
        <v>23.283285079751668</v>
      </c>
      <c r="AX10" s="8">
        <v>17.424639737236085</v>
      </c>
      <c r="AY10" s="8">
        <v>13.254705562740096</v>
      </c>
      <c r="AZ10" s="8">
        <v>19.069841723957524</v>
      </c>
      <c r="BA10" s="8">
        <v>21.77294374451803</v>
      </c>
      <c r="BB10" s="8">
        <v>21.459753750038534</v>
      </c>
      <c r="BC10" s="8">
        <v>24.412936190903576</v>
      </c>
      <c r="BD10" s="8">
        <v>22.61870415532332</v>
      </c>
      <c r="BE10" s="8">
        <v>23.723396529313543</v>
      </c>
      <c r="BF10" s="8">
        <v>20.61909136945073</v>
      </c>
      <c r="BG10" s="8">
        <v>22.661519103226265</v>
      </c>
      <c r="BH10" s="8">
        <v>25.20661081569381</v>
      </c>
      <c r="BI10" s="8">
        <v>21.441970808835677</v>
      </c>
      <c r="BJ10" s="8">
        <v>22.607461871800325</v>
      </c>
      <c r="BK10" s="8">
        <v>20.79811413397158</v>
      </c>
      <c r="BL10" s="8">
        <v>18.25549429544876</v>
      </c>
      <c r="BM10" s="8">
        <v>20.08113399166014</v>
      </c>
      <c r="BN10" s="8">
        <v>21.993317363069956</v>
      </c>
      <c r="BO10" s="8">
        <v>26.322021696233026</v>
      </c>
      <c r="BP10" s="8">
        <v>21.748307374822655</v>
      </c>
      <c r="BQ10" s="8">
        <v>23.500615077233757</v>
      </c>
      <c r="BR10" s="8">
        <v>16.780658985631</v>
      </c>
      <c r="BS10" s="8">
        <v>16.585137520237502</v>
      </c>
      <c r="BT10" s="8">
        <v>17.200594373651146</v>
      </c>
      <c r="BU10" s="8">
        <v>13.125336324565017</v>
      </c>
      <c r="BV10" s="8">
        <v>14.059263320818097</v>
      </c>
      <c r="BW10" s="8">
        <v>12.183617655545609</v>
      </c>
      <c r="BX10" s="8">
        <v>13.229658148670744</v>
      </c>
      <c r="BY10" s="8">
        <v>13.713177671327623</v>
      </c>
      <c r="BZ10" s="8">
        <v>8.088900684733947</v>
      </c>
      <c r="CA10" s="8">
        <v>10.269097221268593</v>
      </c>
      <c r="CB10" s="8">
        <v>10.080161005674103</v>
      </c>
      <c r="CC10" s="8">
        <v>12.909565797394919</v>
      </c>
      <c r="CD10" s="8">
        <v>14.202880264433642</v>
      </c>
      <c r="CE10" s="8">
        <v>8.558289677110412</v>
      </c>
      <c r="CF10" s="8">
        <v>5.4188340543406275</v>
      </c>
      <c r="CG10" s="8">
        <v>3.8178191950726434</v>
      </c>
      <c r="CH10" s="8">
        <v>11.4553257531203</v>
      </c>
      <c r="CI10" s="8">
        <v>11.0408541595554</v>
      </c>
      <c r="CJ10" s="8">
        <v>6.9668354789752795</v>
      </c>
      <c r="CK10" s="8">
        <v>4.02664331802083</v>
      </c>
      <c r="CL10" s="8">
        <v>4.973137353111155</v>
      </c>
      <c r="CM10" s="8">
        <v>3.7169378976375476</v>
      </c>
      <c r="CN10" s="8">
        <v>4.139104413890699</v>
      </c>
      <c r="CO10" s="8">
        <v>7.6286413392865</v>
      </c>
      <c r="CP10" s="8">
        <v>19.843237848237155</v>
      </c>
      <c r="CQ10" s="8">
        <v>13.845491621799756</v>
      </c>
      <c r="CR10" s="8">
        <v>17.79688931626486</v>
      </c>
      <c r="CS10" s="8">
        <v>12.683115685240073</v>
      </c>
      <c r="CT10" s="8">
        <v>7.943271458466645</v>
      </c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1:112" ht="15" customHeight="1">
      <c r="A11" s="9" t="s">
        <v>8</v>
      </c>
      <c r="B11" s="8">
        <v>254.16902899999997</v>
      </c>
      <c r="C11" s="8">
        <v>207.53342</v>
      </c>
      <c r="D11" s="8">
        <v>258.341102</v>
      </c>
      <c r="E11" s="8">
        <v>270.592218</v>
      </c>
      <c r="F11" s="8">
        <v>265.398633</v>
      </c>
      <c r="G11" s="8">
        <v>284.262001</v>
      </c>
      <c r="H11" s="8">
        <v>288.83901</v>
      </c>
      <c r="I11" s="8">
        <v>286.26386899999994</v>
      </c>
      <c r="J11" s="8">
        <v>275.62006999999994</v>
      </c>
      <c r="K11" s="8">
        <v>278.16789500000004</v>
      </c>
      <c r="L11" s="8">
        <v>283.041579</v>
      </c>
      <c r="M11" s="8">
        <v>265.673961</v>
      </c>
      <c r="N11" s="8">
        <v>251.96964799999998</v>
      </c>
      <c r="O11" s="8">
        <v>251.052187</v>
      </c>
      <c r="P11" s="8">
        <v>255.645689</v>
      </c>
      <c r="Q11" s="8">
        <v>265.09087999999997</v>
      </c>
      <c r="R11" s="8">
        <v>278.118039</v>
      </c>
      <c r="S11" s="8">
        <v>283.11002900000005</v>
      </c>
      <c r="T11" s="8">
        <v>297.724596</v>
      </c>
      <c r="U11" s="8">
        <v>303.49388500000003</v>
      </c>
      <c r="V11" s="8">
        <v>303.78529499999996</v>
      </c>
      <c r="W11" s="8">
        <v>306.88021200000003</v>
      </c>
      <c r="X11" s="8">
        <v>298.81213399999996</v>
      </c>
      <c r="Y11" s="8">
        <v>278.183724</v>
      </c>
      <c r="Z11" s="8">
        <v>267.71425400000004</v>
      </c>
      <c r="AA11" s="8">
        <v>271.84013699999997</v>
      </c>
      <c r="AB11" s="8">
        <v>274.923008</v>
      </c>
      <c r="AC11" s="8">
        <v>288.46691699999997</v>
      </c>
      <c r="AD11" s="8">
        <v>291.06184099999996</v>
      </c>
      <c r="AE11" s="8">
        <v>305.68645899999996</v>
      </c>
      <c r="AF11" s="8">
        <v>309.45617300000004</v>
      </c>
      <c r="AG11" s="8">
        <v>313.35536299999995</v>
      </c>
      <c r="AH11" s="8">
        <v>316.90753499999994</v>
      </c>
      <c r="AI11" s="8">
        <v>314.81422200000003</v>
      </c>
      <c r="AJ11" s="8">
        <v>307.681535</v>
      </c>
      <c r="AK11" s="8">
        <v>288.613783</v>
      </c>
      <c r="AL11" s="8">
        <v>281.271576</v>
      </c>
      <c r="AM11" s="8">
        <v>268.691517</v>
      </c>
      <c r="AN11" s="8">
        <v>281.146914</v>
      </c>
      <c r="AO11" s="8">
        <v>293.62496</v>
      </c>
      <c r="AP11" s="8">
        <v>287.089936</v>
      </c>
      <c r="AQ11" s="8">
        <v>315.336837</v>
      </c>
      <c r="AR11" s="8">
        <v>320.783646</v>
      </c>
      <c r="AS11" s="8">
        <v>332.437512</v>
      </c>
      <c r="AT11" s="8">
        <v>332.62417</v>
      </c>
      <c r="AU11" s="8">
        <v>326.906235</v>
      </c>
      <c r="AV11" s="8">
        <v>324.281878</v>
      </c>
      <c r="AW11" s="8">
        <v>314.493685</v>
      </c>
      <c r="AX11" s="8">
        <v>289.565839</v>
      </c>
      <c r="AY11" s="8">
        <v>280.913723</v>
      </c>
      <c r="AZ11" s="8">
        <v>265.163913</v>
      </c>
      <c r="BA11" s="8">
        <v>310.21471</v>
      </c>
      <c r="BB11" s="8">
        <v>318.956003</v>
      </c>
      <c r="BC11" s="8">
        <v>333.385128</v>
      </c>
      <c r="BD11" s="8">
        <v>345.482508</v>
      </c>
      <c r="BE11" s="8">
        <v>351.0174610000002</v>
      </c>
      <c r="BF11" s="8">
        <v>343.667535</v>
      </c>
      <c r="BG11" s="8">
        <v>333.112478</v>
      </c>
      <c r="BH11" s="8">
        <v>341.666245</v>
      </c>
      <c r="BI11" s="8">
        <v>334.036913</v>
      </c>
      <c r="BJ11" s="8">
        <v>318.993885</v>
      </c>
      <c r="BK11" s="8">
        <v>313.439366</v>
      </c>
      <c r="BL11" s="8">
        <v>320.752077</v>
      </c>
      <c r="BM11" s="8">
        <v>338.480948</v>
      </c>
      <c r="BN11" s="8">
        <v>340.042821</v>
      </c>
      <c r="BO11" s="8">
        <v>364.060835</v>
      </c>
      <c r="BP11" s="8">
        <v>381.417293</v>
      </c>
      <c r="BQ11" s="8">
        <v>393.939558</v>
      </c>
      <c r="BR11" s="8">
        <v>389.79213</v>
      </c>
      <c r="BS11" s="8">
        <v>382.889331</v>
      </c>
      <c r="BT11" s="8">
        <v>380.42521500000004</v>
      </c>
      <c r="BU11" s="8">
        <v>365.47045</v>
      </c>
      <c r="BV11" s="8">
        <v>342.81774999999993</v>
      </c>
      <c r="BW11" s="8">
        <v>332.208023</v>
      </c>
      <c r="BX11" s="8">
        <v>337.51412799999997</v>
      </c>
      <c r="BY11" s="8">
        <v>309.82461700000005</v>
      </c>
      <c r="BZ11" s="8">
        <v>312.581989</v>
      </c>
      <c r="CA11" s="8">
        <v>346.043585</v>
      </c>
      <c r="CB11" s="8">
        <v>390.724181</v>
      </c>
      <c r="CC11" s="8">
        <v>373.325518</v>
      </c>
      <c r="CD11" s="8">
        <v>362.07817</v>
      </c>
      <c r="CE11" s="8">
        <v>361.91457399999996</v>
      </c>
      <c r="CF11" s="8">
        <v>356.136299</v>
      </c>
      <c r="CG11" s="8">
        <v>330.836918</v>
      </c>
      <c r="CH11" s="8">
        <v>321.008392</v>
      </c>
      <c r="CI11" s="8">
        <v>318.75429199999996</v>
      </c>
      <c r="CJ11" s="8">
        <v>325.487541</v>
      </c>
      <c r="CK11" s="8">
        <v>333.023231</v>
      </c>
      <c r="CL11" s="8">
        <v>343.302719</v>
      </c>
      <c r="CM11" s="8">
        <v>368.192619</v>
      </c>
      <c r="CN11" s="8">
        <v>366.356602</v>
      </c>
      <c r="CO11" s="8">
        <v>381.613279</v>
      </c>
      <c r="CP11" s="8">
        <v>386.866911</v>
      </c>
      <c r="CQ11" s="8">
        <v>396.614866</v>
      </c>
      <c r="CR11" s="8">
        <v>385.113657</v>
      </c>
      <c r="CS11" s="8">
        <v>371.282705</v>
      </c>
      <c r="CT11" s="8">
        <v>342.945859</v>
      </c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ht="15" customHeight="1">
      <c r="A12" s="9" t="s">
        <v>18</v>
      </c>
      <c r="B12" s="20">
        <f aca="true" t="shared" si="10" ref="B12:AG12">+(B14/B11)*100</f>
        <v>19.47559322858839</v>
      </c>
      <c r="C12" s="20">
        <f t="shared" si="10"/>
        <v>19.222498178939077</v>
      </c>
      <c r="D12" s="20">
        <f t="shared" si="10"/>
        <v>18.694698352327972</v>
      </c>
      <c r="E12" s="20">
        <f t="shared" si="10"/>
        <v>19.50869608478355</v>
      </c>
      <c r="F12" s="20">
        <f t="shared" si="10"/>
        <v>19.48995929361127</v>
      </c>
      <c r="G12" s="20">
        <f t="shared" si="10"/>
        <v>19.442360989230973</v>
      </c>
      <c r="H12" s="20">
        <f t="shared" si="10"/>
        <v>19.651429630674457</v>
      </c>
      <c r="I12" s="20">
        <f t="shared" si="10"/>
        <v>20.017949248133977</v>
      </c>
      <c r="J12" s="20">
        <f t="shared" si="10"/>
        <v>19.503116114642687</v>
      </c>
      <c r="K12" s="20">
        <f t="shared" si="10"/>
        <v>19.84491647905287</v>
      </c>
      <c r="L12" s="20">
        <f t="shared" si="10"/>
        <v>19.422753936993374</v>
      </c>
      <c r="M12" s="20">
        <f t="shared" si="10"/>
        <v>19.114373193142</v>
      </c>
      <c r="N12" s="20">
        <f t="shared" si="10"/>
        <v>18.715726067618622</v>
      </c>
      <c r="O12" s="20">
        <f t="shared" si="10"/>
        <v>18.463608378928203</v>
      </c>
      <c r="P12" s="20">
        <f t="shared" si="10"/>
        <v>18.255591403287642</v>
      </c>
      <c r="Q12" s="20">
        <f t="shared" si="10"/>
        <v>18.355110778881954</v>
      </c>
      <c r="R12" s="20">
        <f t="shared" si="10"/>
        <v>18.443364987886714</v>
      </c>
      <c r="S12" s="20">
        <f t="shared" si="10"/>
        <v>18.458055798708376</v>
      </c>
      <c r="T12" s="20">
        <f t="shared" si="10"/>
        <v>18.438308316854346</v>
      </c>
      <c r="U12" s="20">
        <f t="shared" si="10"/>
        <v>18.49705255973807</v>
      </c>
      <c r="V12" s="20">
        <f t="shared" si="10"/>
        <v>18.256062823827225</v>
      </c>
      <c r="W12" s="20">
        <f t="shared" si="10"/>
        <v>18.06241054428101</v>
      </c>
      <c r="X12" s="20">
        <f t="shared" si="10"/>
        <v>17.91024481337276</v>
      </c>
      <c r="Y12" s="20">
        <f t="shared" si="10"/>
        <v>17.737501788316237</v>
      </c>
      <c r="Z12" s="20">
        <f t="shared" si="10"/>
        <v>17.710267961028155</v>
      </c>
      <c r="AA12" s="20">
        <f t="shared" si="10"/>
        <v>17.371670876211265</v>
      </c>
      <c r="AB12" s="20">
        <f t="shared" si="10"/>
        <v>17.1974300123198</v>
      </c>
      <c r="AC12" s="20">
        <f t="shared" si="10"/>
        <v>17.247867943104268</v>
      </c>
      <c r="AD12" s="20">
        <f t="shared" si="10"/>
        <v>17.32846421689909</v>
      </c>
      <c r="AE12" s="20">
        <f t="shared" si="10"/>
        <v>17.77107468022181</v>
      </c>
      <c r="AF12" s="20">
        <f t="shared" si="10"/>
        <v>17.890669216457333</v>
      </c>
      <c r="AG12" s="20">
        <f t="shared" si="10"/>
        <v>18.044012703077943</v>
      </c>
      <c r="AH12" s="20">
        <f aca="true" t="shared" si="11" ref="AH12:BM12">+(AH14/AH11)*100</f>
        <v>17.642360381394173</v>
      </c>
      <c r="AI12" s="20">
        <f t="shared" si="11"/>
        <v>16.68758470578905</v>
      </c>
      <c r="AJ12" s="20">
        <f t="shared" si="11"/>
        <v>17.80670108814438</v>
      </c>
      <c r="AK12" s="20">
        <f t="shared" si="11"/>
        <v>17.054841960748192</v>
      </c>
      <c r="AL12" s="20">
        <f t="shared" si="11"/>
        <v>17.45578933309702</v>
      </c>
      <c r="AM12" s="20">
        <f t="shared" si="11"/>
        <v>18.05714793208198</v>
      </c>
      <c r="AN12" s="20">
        <f t="shared" si="11"/>
        <v>17.754580951840065</v>
      </c>
      <c r="AO12" s="20">
        <f t="shared" si="11"/>
        <v>17.23535387355815</v>
      </c>
      <c r="AP12" s="20">
        <f t="shared" si="11"/>
        <v>17.536758680112282</v>
      </c>
      <c r="AQ12" s="20">
        <f t="shared" si="11"/>
        <v>17.578038967514406</v>
      </c>
      <c r="AR12" s="20">
        <f t="shared" si="11"/>
        <v>17.734070310464325</v>
      </c>
      <c r="AS12" s="20">
        <f t="shared" si="11"/>
        <v>17.578871363231436</v>
      </c>
      <c r="AT12" s="20">
        <f t="shared" si="11"/>
        <v>17.567348685864484</v>
      </c>
      <c r="AU12" s="20">
        <f t="shared" si="11"/>
        <v>17.957022408583747</v>
      </c>
      <c r="AV12" s="20">
        <f t="shared" si="11"/>
        <v>17.32828920881496</v>
      </c>
      <c r="AW12" s="20">
        <f t="shared" si="11"/>
        <v>17.323731753176684</v>
      </c>
      <c r="AX12" s="20">
        <f t="shared" si="11"/>
        <v>17.251516827156273</v>
      </c>
      <c r="AY12" s="20">
        <f t="shared" si="11"/>
        <v>17.048273220467006</v>
      </c>
      <c r="AZ12" s="20">
        <f t="shared" si="11"/>
        <v>17.079568867260363</v>
      </c>
      <c r="BA12" s="20">
        <f t="shared" si="11"/>
        <v>17.00984450583519</v>
      </c>
      <c r="BB12" s="20">
        <f t="shared" si="11"/>
        <v>17.01426023490309</v>
      </c>
      <c r="BC12" s="20">
        <f t="shared" si="11"/>
        <v>17.41306641371139</v>
      </c>
      <c r="BD12" s="20">
        <f t="shared" si="11"/>
        <v>17.154250950055502</v>
      </c>
      <c r="BE12" s="20">
        <f t="shared" si="11"/>
        <v>17.248340388867188</v>
      </c>
      <c r="BF12" s="20">
        <f t="shared" si="11"/>
        <v>17.021421153740263</v>
      </c>
      <c r="BG12" s="20">
        <f t="shared" si="11"/>
        <v>16.952078748491708</v>
      </c>
      <c r="BH12" s="20">
        <f t="shared" si="11"/>
        <v>16.80435775341782</v>
      </c>
      <c r="BI12" s="20">
        <f t="shared" si="11"/>
        <v>16.71848722496379</v>
      </c>
      <c r="BJ12" s="20">
        <f t="shared" si="11"/>
        <v>16.664727883814056</v>
      </c>
      <c r="BK12" s="20">
        <f t="shared" si="11"/>
        <v>16.56513522997575</v>
      </c>
      <c r="BL12" s="20">
        <f t="shared" si="11"/>
        <v>16.30186285330083</v>
      </c>
      <c r="BM12" s="20">
        <f t="shared" si="11"/>
        <v>16.31795111172455</v>
      </c>
      <c r="BN12" s="20">
        <f aca="true" t="shared" si="12" ref="BN12:BU12">+(BN14/BN11)*100</f>
        <v>16.35505095803019</v>
      </c>
      <c r="BO12" s="20">
        <f t="shared" si="12"/>
        <v>16.502611662310265</v>
      </c>
      <c r="BP12" s="20">
        <f t="shared" si="12"/>
        <v>16.370229694514407</v>
      </c>
      <c r="BQ12" s="20">
        <f t="shared" si="12"/>
        <v>16.15508512951516</v>
      </c>
      <c r="BR12" s="20">
        <f t="shared" si="12"/>
        <v>15.905688180722894</v>
      </c>
      <c r="BS12" s="20">
        <f t="shared" si="12"/>
        <v>15.722463866038472</v>
      </c>
      <c r="BT12" s="20">
        <f t="shared" si="12"/>
        <v>15.610624739070147</v>
      </c>
      <c r="BU12" s="20">
        <f t="shared" si="12"/>
        <v>15.500337773472875</v>
      </c>
      <c r="BV12" s="20">
        <v>15.645322615919492</v>
      </c>
      <c r="BW12" s="20">
        <v>15.436412690661358</v>
      </c>
      <c r="BX12" s="20">
        <v>15.460583567312636</v>
      </c>
      <c r="BY12" s="20">
        <v>15.344154404287668</v>
      </c>
      <c r="BZ12" s="20">
        <v>15.74747345482386</v>
      </c>
      <c r="CA12" s="20">
        <v>15.097583497900729</v>
      </c>
      <c r="CB12" s="20">
        <v>15.804439953599022</v>
      </c>
      <c r="CC12" s="20">
        <v>14.750184106366081</v>
      </c>
      <c r="CD12" s="20">
        <v>14.694478773588857</v>
      </c>
      <c r="CE12" s="20">
        <v>14.988465451719707</v>
      </c>
      <c r="CF12" s="20">
        <f aca="true" t="shared" si="13" ref="CF12:CT12">+(CF14/CF11)*100</f>
        <v>14.267951454991218</v>
      </c>
      <c r="CG12" s="20">
        <f t="shared" si="13"/>
        <v>14.248466616956485</v>
      </c>
      <c r="CH12" s="20">
        <f t="shared" si="13"/>
        <v>14.179516476594092</v>
      </c>
      <c r="CI12" s="20">
        <f t="shared" si="13"/>
        <v>14.42732511199503</v>
      </c>
      <c r="CJ12" s="20">
        <f t="shared" si="13"/>
        <v>14.499155343145684</v>
      </c>
      <c r="CK12" s="20">
        <f t="shared" si="13"/>
        <v>14.409642909640297</v>
      </c>
      <c r="CL12" s="20">
        <f t="shared" si="13"/>
        <v>14.8402513904084</v>
      </c>
      <c r="CM12" s="20">
        <f t="shared" si="13"/>
        <v>14.506395905660119</v>
      </c>
      <c r="CN12" s="20">
        <f t="shared" si="13"/>
        <v>14.325969259890146</v>
      </c>
      <c r="CO12" s="20">
        <f t="shared" si="13"/>
        <v>14.43145931282134</v>
      </c>
      <c r="CP12" s="20">
        <f t="shared" si="13"/>
        <v>14.690324368004903</v>
      </c>
      <c r="CQ12" s="8">
        <f t="shared" si="13"/>
        <v>14.8161548597279</v>
      </c>
      <c r="CR12" s="8">
        <f t="shared" si="13"/>
        <v>14.928711540547992</v>
      </c>
      <c r="CS12" s="8">
        <f t="shared" si="13"/>
        <v>14.899109368967423</v>
      </c>
      <c r="CT12" s="8">
        <f t="shared" si="13"/>
        <v>15.62045105066511</v>
      </c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ht="15" customHeight="1">
      <c r="A13" s="9" t="s">
        <v>9</v>
      </c>
      <c r="B13" s="20">
        <f aca="true" t="shared" si="14" ref="B13:AG13">+B15/B11</f>
        <v>8.368506605578602</v>
      </c>
      <c r="C13" s="20">
        <f t="shared" si="14"/>
        <v>8.300601496134936</v>
      </c>
      <c r="D13" s="20">
        <f t="shared" si="14"/>
        <v>8.079642986194273</v>
      </c>
      <c r="E13" s="20">
        <f t="shared" si="14"/>
        <v>8.428459021685548</v>
      </c>
      <c r="F13" s="20">
        <f t="shared" si="14"/>
        <v>8.435898479024948</v>
      </c>
      <c r="G13" s="20">
        <f t="shared" si="14"/>
        <v>8.453752424088508</v>
      </c>
      <c r="H13" s="20">
        <f t="shared" si="14"/>
        <v>8.563090810136764</v>
      </c>
      <c r="I13" s="20">
        <f t="shared" si="14"/>
        <v>8.728146159374385</v>
      </c>
      <c r="J13" s="20">
        <f t="shared" si="14"/>
        <v>8.535571272766898</v>
      </c>
      <c r="K13" s="20">
        <f t="shared" si="14"/>
        <v>8.713605152204927</v>
      </c>
      <c r="L13" s="20">
        <f t="shared" si="14"/>
        <v>8.574640871580211</v>
      </c>
      <c r="M13" s="20">
        <f t="shared" si="14"/>
        <v>8.460155375897001</v>
      </c>
      <c r="N13" s="20">
        <f t="shared" si="14"/>
        <v>8.348696527567487</v>
      </c>
      <c r="O13" s="20">
        <f t="shared" si="14"/>
        <v>8.28678132180542</v>
      </c>
      <c r="P13" s="20">
        <f t="shared" si="14"/>
        <v>8.169815287164898</v>
      </c>
      <c r="Q13" s="20">
        <f t="shared" si="14"/>
        <v>8.222561700990997</v>
      </c>
      <c r="R13" s="20">
        <f t="shared" si="14"/>
        <v>8.274634145180361</v>
      </c>
      <c r="S13" s="20">
        <f t="shared" si="14"/>
        <v>8.290409393338726</v>
      </c>
      <c r="T13" s="20">
        <f t="shared" si="14"/>
        <v>8.308404340768677</v>
      </c>
      <c r="U13" s="20">
        <f t="shared" si="14"/>
        <v>8.350172881704024</v>
      </c>
      <c r="V13" s="20">
        <f t="shared" si="14"/>
        <v>8.25689295276785</v>
      </c>
      <c r="W13" s="20">
        <f t="shared" si="14"/>
        <v>8.18839513373381</v>
      </c>
      <c r="X13" s="20">
        <f t="shared" si="14"/>
        <v>8.137215256794088</v>
      </c>
      <c r="Y13" s="20">
        <f t="shared" si="14"/>
        <v>8.075476601679252</v>
      </c>
      <c r="Z13" s="20">
        <f t="shared" si="14"/>
        <v>8.078609571494837</v>
      </c>
      <c r="AA13" s="20">
        <f t="shared" si="14"/>
        <v>7.950006203131076</v>
      </c>
      <c r="AB13" s="20">
        <f t="shared" si="14"/>
        <v>7.878039504063627</v>
      </c>
      <c r="AC13" s="20">
        <f t="shared" si="14"/>
        <v>7.908751127291315</v>
      </c>
      <c r="AD13" s="20">
        <f t="shared" si="14"/>
        <v>7.953938360198852</v>
      </c>
      <c r="AE13" s="20">
        <f t="shared" si="14"/>
        <v>8.166542276280543</v>
      </c>
      <c r="AF13" s="20">
        <f t="shared" si="14"/>
        <v>8.22872385276347</v>
      </c>
      <c r="AG13" s="20">
        <f t="shared" si="14"/>
        <v>8.301346528190741</v>
      </c>
      <c r="AH13" s="20">
        <f aca="true" t="shared" si="15" ref="AH13:BM13">+AH15/AH11</f>
        <v>8.146289336667232</v>
      </c>
      <c r="AI13" s="20">
        <f t="shared" si="15"/>
        <v>7.749230397411966</v>
      </c>
      <c r="AJ13" s="20">
        <f t="shared" si="15"/>
        <v>8.29601739005885</v>
      </c>
      <c r="AK13" s="20">
        <f t="shared" si="15"/>
        <v>7.960193991601572</v>
      </c>
      <c r="AL13" s="20">
        <f t="shared" si="15"/>
        <v>8.166307012124113</v>
      </c>
      <c r="AM13" s="20">
        <f t="shared" si="15"/>
        <v>8.510062963171256</v>
      </c>
      <c r="AN13" s="20">
        <f t="shared" si="15"/>
        <v>8.400970578144067</v>
      </c>
      <c r="AO13" s="20">
        <f t="shared" si="15"/>
        <v>8.16888747230481</v>
      </c>
      <c r="AP13" s="20">
        <f t="shared" si="15"/>
        <v>8.319473391362626</v>
      </c>
      <c r="AQ13" s="20">
        <f t="shared" si="15"/>
        <v>8.350377099361848</v>
      </c>
      <c r="AR13" s="20">
        <f t="shared" si="15"/>
        <v>8.430333673836978</v>
      </c>
      <c r="AS13" s="20">
        <f t="shared" si="15"/>
        <v>8.36423874012148</v>
      </c>
      <c r="AT13" s="20">
        <f t="shared" si="15"/>
        <v>8.383244196986647</v>
      </c>
      <c r="AU13" s="20">
        <f t="shared" si="15"/>
        <v>8.589095216339327</v>
      </c>
      <c r="AV13" s="20">
        <f t="shared" si="15"/>
        <v>8.312990949373992</v>
      </c>
      <c r="AW13" s="20">
        <f t="shared" si="15"/>
        <v>8.349842946862351</v>
      </c>
      <c r="AX13" s="20">
        <f t="shared" si="15"/>
        <v>8.353995268999942</v>
      </c>
      <c r="AY13" s="20">
        <f t="shared" si="15"/>
        <v>8.32581404785981</v>
      </c>
      <c r="AZ13" s="20">
        <f t="shared" si="15"/>
        <v>8.403645630127658</v>
      </c>
      <c r="BA13" s="20">
        <f t="shared" si="15"/>
        <v>8.399580285892958</v>
      </c>
      <c r="BB13" s="20">
        <f t="shared" si="15"/>
        <v>8.405350812726356</v>
      </c>
      <c r="BC13" s="20">
        <f t="shared" si="15"/>
        <v>8.604858312066034</v>
      </c>
      <c r="BD13" s="20">
        <f t="shared" si="15"/>
        <v>8.505780945326471</v>
      </c>
      <c r="BE13" s="20">
        <f t="shared" si="15"/>
        <v>8.577185715214318</v>
      </c>
      <c r="BF13" s="20">
        <f t="shared" si="15"/>
        <v>8.480208190162628</v>
      </c>
      <c r="BG13" s="20">
        <f t="shared" si="15"/>
        <v>8.472140396133701</v>
      </c>
      <c r="BH13" s="20">
        <f t="shared" si="15"/>
        <v>8.425284868619858</v>
      </c>
      <c r="BI13" s="20">
        <f t="shared" si="15"/>
        <v>8.39435243565432</v>
      </c>
      <c r="BJ13" s="20">
        <f t="shared" si="15"/>
        <v>8.395039983478053</v>
      </c>
      <c r="BK13" s="20">
        <f t="shared" si="15"/>
        <v>8.363687082209065</v>
      </c>
      <c r="BL13" s="20">
        <f t="shared" si="15"/>
        <v>8.239483145669544</v>
      </c>
      <c r="BM13" s="20">
        <f t="shared" si="15"/>
        <v>8.249115917803442</v>
      </c>
      <c r="BN13" s="20">
        <f aca="true" t="shared" si="16" ref="BN13:BU13">+BN15/BN11</f>
        <v>8.269882451775091</v>
      </c>
      <c r="BO13" s="20">
        <f t="shared" si="16"/>
        <v>8.371395336221765</v>
      </c>
      <c r="BP13" s="20">
        <f t="shared" si="16"/>
        <v>8.335933773432764</v>
      </c>
      <c r="BQ13" s="20">
        <f t="shared" si="16"/>
        <v>8.267461745540162</v>
      </c>
      <c r="BR13" s="20">
        <f t="shared" si="16"/>
        <v>8.216830797096904</v>
      </c>
      <c r="BS13" s="20">
        <f t="shared" si="16"/>
        <v>8.29337957484117</v>
      </c>
      <c r="BT13" s="20">
        <f t="shared" si="16"/>
        <v>8.253196803923736</v>
      </c>
      <c r="BU13" s="20">
        <f t="shared" si="16"/>
        <v>8.201259716620045</v>
      </c>
      <c r="BV13" s="20">
        <v>8.30901180679822</v>
      </c>
      <c r="BW13" s="20">
        <v>8.238444325831347</v>
      </c>
      <c r="BX13" s="20">
        <v>8.30834754265457</v>
      </c>
      <c r="BY13" s="20">
        <v>8.316823226057599</v>
      </c>
      <c r="BZ13" s="20">
        <v>8.722746011255303</v>
      </c>
      <c r="CA13" s="20">
        <v>8.74683029225928</v>
      </c>
      <c r="CB13" s="20">
        <v>9.221132099807257</v>
      </c>
      <c r="CC13" s="20">
        <v>8.626305920373758</v>
      </c>
      <c r="CD13" s="20">
        <v>8.592067461620235</v>
      </c>
      <c r="CE13" s="20">
        <v>8.766123927161884</v>
      </c>
      <c r="CF13" s="20">
        <v>8.444360917110561</v>
      </c>
      <c r="CG13" s="20">
        <f aca="true" t="shared" si="17" ref="CG13:CT13">+CG15/CG11</f>
        <v>8.30905030154464</v>
      </c>
      <c r="CH13" s="20">
        <f t="shared" si="17"/>
        <v>8.267579774425336</v>
      </c>
      <c r="CI13" s="20">
        <f t="shared" si="17"/>
        <v>8.381814215665528</v>
      </c>
      <c r="CJ13" s="20">
        <f t="shared" si="17"/>
        <v>8.330025729433371</v>
      </c>
      <c r="CK13" s="20">
        <f t="shared" si="17"/>
        <v>8.227401763902773</v>
      </c>
      <c r="CL13" s="20">
        <f t="shared" si="17"/>
        <v>8.464913313663555</v>
      </c>
      <c r="CM13" s="20">
        <f t="shared" si="17"/>
        <v>8.286894712275588</v>
      </c>
      <c r="CN13" s="20">
        <f t="shared" si="17"/>
        <v>8.193824074009727</v>
      </c>
      <c r="CO13" s="20">
        <f t="shared" si="17"/>
        <v>8.252684297812394</v>
      </c>
      <c r="CP13" s="20">
        <f t="shared" si="17"/>
        <v>8.338081208035904</v>
      </c>
      <c r="CQ13" s="8">
        <f t="shared" si="17"/>
        <v>8.373216573581486</v>
      </c>
      <c r="CR13" s="8">
        <f t="shared" si="17"/>
        <v>8.46780404518347</v>
      </c>
      <c r="CS13" s="8">
        <f t="shared" si="17"/>
        <v>8.516345814411148</v>
      </c>
      <c r="CT13" s="8">
        <f t="shared" si="17"/>
        <v>9.033712974326951</v>
      </c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</row>
    <row r="14" spans="1:112" ht="15" customHeight="1">
      <c r="A14" s="9" t="s">
        <v>27</v>
      </c>
      <c r="B14" s="8">
        <f aca="true" t="shared" si="18" ref="B14:AO14">+B15/B39</f>
        <v>49.50092620109286</v>
      </c>
      <c r="C14" s="8">
        <f t="shared" si="18"/>
        <v>39.89310788018999</v>
      </c>
      <c r="D14" s="8">
        <f t="shared" si="18"/>
        <v>48.296089738979916</v>
      </c>
      <c r="E14" s="8">
        <f t="shared" si="18"/>
        <v>52.78901343869498</v>
      </c>
      <c r="F14" s="8">
        <f t="shared" si="18"/>
        <v>51.72608553750077</v>
      </c>
      <c r="G14" s="8">
        <f t="shared" si="18"/>
        <v>55.26724438963136</v>
      </c>
      <c r="H14" s="8">
        <f t="shared" si="18"/>
        <v>56.760994796086756</v>
      </c>
      <c r="I14" s="8">
        <f t="shared" si="18"/>
        <v>57.304156012164725</v>
      </c>
      <c r="J14" s="8">
        <f t="shared" si="18"/>
        <v>53.75450228735944</v>
      </c>
      <c r="K14" s="8">
        <f t="shared" si="18"/>
        <v>55.20218643428949</v>
      </c>
      <c r="L14" s="8">
        <f t="shared" si="18"/>
        <v>54.97446942855071</v>
      </c>
      <c r="M14" s="8">
        <f t="shared" si="18"/>
        <v>50.78191238254254</v>
      </c>
      <c r="N14" s="8">
        <f t="shared" si="18"/>
        <v>47.157949093222875</v>
      </c>
      <c r="O14" s="8">
        <f t="shared" si="18"/>
        <v>46.3532926344145</v>
      </c>
      <c r="P14" s="8">
        <f t="shared" si="18"/>
        <v>46.669632423959456</v>
      </c>
      <c r="Q14" s="8">
        <f t="shared" si="18"/>
        <v>48.657724688713024</v>
      </c>
      <c r="R14" s="8">
        <f t="shared" si="18"/>
        <v>51.294325029923115</v>
      </c>
      <c r="S14" s="8">
        <f t="shared" si="18"/>
        <v>52.25660712455947</v>
      </c>
      <c r="T14" s="8">
        <f t="shared" si="18"/>
        <v>54.895378945589</v>
      </c>
      <c r="U14" s="8">
        <f t="shared" si="18"/>
        <v>56.13742342404102</v>
      </c>
      <c r="V14" s="8">
        <f t="shared" si="18"/>
        <v>55.459234304748854</v>
      </c>
      <c r="W14" s="8">
        <f t="shared" si="18"/>
        <v>55.429963770599926</v>
      </c>
      <c r="X14" s="8">
        <f t="shared" si="18"/>
        <v>53.51798473146346</v>
      </c>
      <c r="Y14" s="8">
        <f t="shared" si="18"/>
        <v>49.3428430193047</v>
      </c>
      <c r="Z14" s="8">
        <f t="shared" si="18"/>
        <v>47.412911753267544</v>
      </c>
      <c r="AA14" s="8">
        <f t="shared" si="18"/>
        <v>47.223173909081794</v>
      </c>
      <c r="AB14" s="8">
        <f t="shared" si="18"/>
        <v>47.279691888564365</v>
      </c>
      <c r="AC14" s="8">
        <f t="shared" si="18"/>
        <v>49.754392903704186</v>
      </c>
      <c r="AD14" s="8">
        <f t="shared" si="18"/>
        <v>50.43654696673271</v>
      </c>
      <c r="AE14" s="8">
        <f t="shared" si="18"/>
        <v>54.32376891621562</v>
      </c>
      <c r="AF14" s="8">
        <f t="shared" si="18"/>
        <v>55.36378028133796</v>
      </c>
      <c r="AG14" s="8">
        <f t="shared" si="18"/>
        <v>56.541881505495994</v>
      </c>
      <c r="AH14" s="8">
        <f t="shared" si="18"/>
        <v>55.90996940049286</v>
      </c>
      <c r="AI14" s="8">
        <f t="shared" si="18"/>
        <v>52.534889962120786</v>
      </c>
      <c r="AJ14" s="8">
        <f t="shared" si="18"/>
        <v>54.78793124086433</v>
      </c>
      <c r="AK14" s="8">
        <f t="shared" si="18"/>
        <v>49.22262456758673</v>
      </c>
      <c r="AL14" s="8">
        <f t="shared" si="18"/>
        <v>49.098173760441874</v>
      </c>
      <c r="AM14" s="8">
        <f t="shared" si="18"/>
        <v>48.518024705645196</v>
      </c>
      <c r="AN14" s="8">
        <f t="shared" si="18"/>
        <v>49.91645643973017</v>
      </c>
      <c r="AO14" s="8">
        <f t="shared" si="18"/>
        <v>50.60730091709356</v>
      </c>
      <c r="AP14" s="8">
        <v>50.3462692712088</v>
      </c>
      <c r="AQ14" s="8">
        <v>55.430032086787385</v>
      </c>
      <c r="AR14" s="8">
        <v>56.88799732611098</v>
      </c>
      <c r="AS14" s="8">
        <v>58.43876259760707</v>
      </c>
      <c r="AT14" s="8">
        <v>58.43324775736264</v>
      </c>
      <c r="AU14" s="8">
        <v>58.702625874007445</v>
      </c>
      <c r="AV14" s="8">
        <v>56.192501671616505</v>
      </c>
      <c r="AW14" s="8">
        <v>54.482042370080464</v>
      </c>
      <c r="AX14" s="8">
        <v>49.954499440781234</v>
      </c>
      <c r="AY14" s="8">
        <v>47.89093901082587</v>
      </c>
      <c r="AZ14" s="8">
        <v>45.28885313195735</v>
      </c>
      <c r="BA14" s="8">
        <v>52.76703980522757</v>
      </c>
      <c r="BB14" s="8">
        <v>54.268004385265314</v>
      </c>
      <c r="BC14" s="8">
        <v>58.05257375207673</v>
      </c>
      <c r="BD14" s="8">
        <v>59.26493641086558</v>
      </c>
      <c r="BE14" s="8">
        <v>60.544686497639155</v>
      </c>
      <c r="BF14" s="8">
        <v>58.497098501027715</v>
      </c>
      <c r="BG14" s="8">
        <v>56.469489591612124</v>
      </c>
      <c r="BH14" s="8">
        <v>57.414818132469016</v>
      </c>
      <c r="BI14" s="8">
        <v>55.84591862656842</v>
      </c>
      <c r="BJ14" s="8">
        <v>53.15946290125674</v>
      </c>
      <c r="BK14" s="8">
        <v>51.92165484187863</v>
      </c>
      <c r="BL14" s="8">
        <v>52.28856369165387</v>
      </c>
      <c r="BM14" s="8">
        <v>55.233155617141804</v>
      </c>
      <c r="BN14" s="8">
        <v>55.61417665367338</v>
      </c>
      <c r="BO14" s="8">
        <v>60.079545814614136</v>
      </c>
      <c r="BP14" s="8">
        <v>62.438886958699015</v>
      </c>
      <c r="BQ14" s="8">
        <v>63.641270953735756</v>
      </c>
      <c r="BR14" s="8">
        <v>61.99912075079801</v>
      </c>
      <c r="BS14" s="8">
        <v>60.19963671339144</v>
      </c>
      <c r="BT14" s="8">
        <v>59.38675272645081</v>
      </c>
      <c r="BU14" s="8">
        <v>56.6491542122313</v>
      </c>
      <c r="BV14" s="8">
        <v>53.14234708954857</v>
      </c>
      <c r="BW14" s="8">
        <v>50.77660281486672</v>
      </c>
      <c r="BX14" s="8">
        <v>51.70973024233841</v>
      </c>
      <c r="BY14" s="8">
        <v>47.45200198314082</v>
      </c>
      <c r="BZ14" s="8">
        <v>49.144762543824484</v>
      </c>
      <c r="CA14" s="8">
        <v>51.98929752275382</v>
      </c>
      <c r="CB14" s="8">
        <v>61.44073941609593</v>
      </c>
      <c r="CC14" s="8">
        <v>54.61603369577669</v>
      </c>
      <c r="CD14" s="8">
        <v>52.66095220825908</v>
      </c>
      <c r="CE14" s="8">
        <v>53.68611799376943</v>
      </c>
      <c r="CF14" s="8">
        <v>50.81335425492237</v>
      </c>
      <c r="CG14" s="8">
        <v>47.1391878177977</v>
      </c>
      <c r="CH14" s="8">
        <v>45.517437834889755</v>
      </c>
      <c r="CI14" s="8">
        <v>45.987718015277956</v>
      </c>
      <c r="CJ14" s="8">
        <v>47.192944192175005</v>
      </c>
      <c r="CK14" s="8">
        <v>47.98745839324653</v>
      </c>
      <c r="CL14" s="8">
        <v>50.94698652970734</v>
      </c>
      <c r="CM14" s="8">
        <v>53.41147900755875</v>
      </c>
      <c r="CN14" s="8">
        <v>52.48413418409809</v>
      </c>
      <c r="CO14" s="8">
        <v>55.07236509120838</v>
      </c>
      <c r="CP14" s="8">
        <v>56.83200409838085</v>
      </c>
      <c r="CQ14" s="8">
        <v>58.763072743262306</v>
      </c>
      <c r="CR14" s="8">
        <v>57.49250695678541</v>
      </c>
      <c r="CS14" s="8">
        <v>55.31781628601068</v>
      </c>
      <c r="CT14" s="8">
        <v>53.56969003537799</v>
      </c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1:112" ht="15" customHeight="1">
      <c r="A15" s="9" t="s">
        <v>28</v>
      </c>
      <c r="B15" s="8">
        <v>2127.0151981199992</v>
      </c>
      <c r="C15" s="8">
        <v>1722.65221655</v>
      </c>
      <c r="D15" s="8">
        <v>2087.303872819999</v>
      </c>
      <c r="E15" s="8">
        <v>2280.6754210000026</v>
      </c>
      <c r="F15" s="8">
        <v>2238.8759244600005</v>
      </c>
      <c r="G15" s="8">
        <v>2403.08058003</v>
      </c>
      <c r="H15" s="8">
        <v>2473.3546721400007</v>
      </c>
      <c r="I15" s="8">
        <v>2498.5528887800015</v>
      </c>
      <c r="J15" s="8">
        <v>2352.574751690001</v>
      </c>
      <c r="K15" s="8">
        <v>2423.84520305</v>
      </c>
      <c r="L15" s="8">
        <v>2426.9798916499994</v>
      </c>
      <c r="M15" s="8">
        <v>2247.6429893900004</v>
      </c>
      <c r="N15" s="8">
        <v>2103.6181253100017</v>
      </c>
      <c r="O15" s="8">
        <v>2080.4145740300014</v>
      </c>
      <c r="P15" s="8">
        <v>2088.578058090003</v>
      </c>
      <c r="Q15" s="8">
        <v>2179.72611717</v>
      </c>
      <c r="R15" s="8">
        <v>2301.3250219000033</v>
      </c>
      <c r="S15" s="8">
        <v>2347.0980437699995</v>
      </c>
      <c r="T15" s="8">
        <v>2473.616325760001</v>
      </c>
      <c r="U15" s="8">
        <v>2534.22640829</v>
      </c>
      <c r="V15" s="8">
        <v>2508.322661440002</v>
      </c>
      <c r="W15" s="8">
        <v>2512.85643458</v>
      </c>
      <c r="X15" s="8">
        <v>2431.498655699999</v>
      </c>
      <c r="Y15" s="8">
        <v>2246.466154129999</v>
      </c>
      <c r="Z15" s="8">
        <v>2162.7589347900002</v>
      </c>
      <c r="AA15" s="8">
        <v>2161.130775410001</v>
      </c>
      <c r="AB15" s="8">
        <v>2165.8543176000003</v>
      </c>
      <c r="AC15" s="8">
        <v>2281.41305501</v>
      </c>
      <c r="AD15" s="8">
        <v>2315.0879423199985</v>
      </c>
      <c r="AE15" s="8">
        <v>2496.4013907099984</v>
      </c>
      <c r="AF15" s="8">
        <v>2546.429392149999</v>
      </c>
      <c r="AG15" s="8">
        <v>2601.2714547299993</v>
      </c>
      <c r="AH15" s="8">
        <v>2581.6204730799973</v>
      </c>
      <c r="AI15" s="8">
        <v>2439.567938659999</v>
      </c>
      <c r="AJ15" s="8">
        <v>2552.5313649600007</v>
      </c>
      <c r="AK15" s="8">
        <v>2297.42170133</v>
      </c>
      <c r="AL15" s="8">
        <v>2296.9500434</v>
      </c>
      <c r="AM15" s="8">
        <v>2286.58172734</v>
      </c>
      <c r="AN15" s="8">
        <v>2361.90695265</v>
      </c>
      <c r="AO15" s="8">
        <v>2398.589257300001</v>
      </c>
      <c r="AP15" s="8">
        <v>2388.4370834799993</v>
      </c>
      <c r="AQ15" s="8">
        <v>2633.1815022700002</v>
      </c>
      <c r="AR15" s="8">
        <v>2704.3131728900007</v>
      </c>
      <c r="AS15" s="8">
        <v>2780.58671654</v>
      </c>
      <c r="AT15" s="8">
        <v>2788.4696429299997</v>
      </c>
      <c r="AU15" s="8">
        <v>2807.82877923</v>
      </c>
      <c r="AV15" s="8">
        <v>2695.752316860001</v>
      </c>
      <c r="AW15" s="8">
        <v>2625.97287753</v>
      </c>
      <c r="AX15" s="8">
        <v>2419.031649069999</v>
      </c>
      <c r="AY15" s="8">
        <v>2338.8354211899996</v>
      </c>
      <c r="AZ15" s="8">
        <v>2228.3435587500003</v>
      </c>
      <c r="BA15" s="8">
        <v>2605.673362510001</v>
      </c>
      <c r="BB15" s="8">
        <v>2680.9370990400002</v>
      </c>
      <c r="BC15" s="8">
        <v>2868.731789789999</v>
      </c>
      <c r="BD15" s="8">
        <v>2938.59853349</v>
      </c>
      <c r="BE15" s="8">
        <v>3010.741952280001</v>
      </c>
      <c r="BF15" s="8">
        <v>2914.3722450000014</v>
      </c>
      <c r="BG15" s="8">
        <v>2822.175681319999</v>
      </c>
      <c r="BH15" s="8">
        <v>2878.6354441166654</v>
      </c>
      <c r="BI15" s="8">
        <v>2804.0235742400005</v>
      </c>
      <c r="BJ15" s="8">
        <v>2677.9664190599997</v>
      </c>
      <c r="BK15" s="8">
        <v>2621.5087764699992</v>
      </c>
      <c r="BL15" s="8">
        <v>2642.83133238</v>
      </c>
      <c r="BM15" s="8">
        <v>2792.1685760199994</v>
      </c>
      <c r="BN15" s="8">
        <v>2812.1141582399987</v>
      </c>
      <c r="BO15" s="8">
        <v>3047.6971762200014</v>
      </c>
      <c r="BP15" s="8">
        <v>3179.46929449</v>
      </c>
      <c r="BQ15" s="8">
        <v>3256.88022582</v>
      </c>
      <c r="BR15" s="8">
        <v>3202.85597825</v>
      </c>
      <c r="BS15" s="8">
        <v>3175.44655714</v>
      </c>
      <c r="BT15" s="8">
        <v>3139.7241685700005</v>
      </c>
      <c r="BU15" s="8">
        <v>2997.3180792000007</v>
      </c>
      <c r="BV15" s="8">
        <v>2822.3156546399996</v>
      </c>
      <c r="BW15" s="8">
        <v>2709.95744755</v>
      </c>
      <c r="BX15" s="8">
        <v>2778.8240225199997</v>
      </c>
      <c r="BY15" s="8">
        <v>2571.9886662900003</v>
      </c>
      <c r="BZ15" s="8">
        <v>2722.1971999699995</v>
      </c>
      <c r="CA15" s="8">
        <v>3012.0155487699994</v>
      </c>
      <c r="CB15" s="8">
        <v>3584.77222938</v>
      </c>
      <c r="CC15" s="8">
        <v>3194.09311382</v>
      </c>
      <c r="CD15" s="8">
        <v>3079.1596009500004</v>
      </c>
      <c r="CE15" s="8">
        <v>3139.8755597599998</v>
      </c>
      <c r="CF15" s="8">
        <v>2969.918604150001</v>
      </c>
      <c r="CG15" s="8">
        <v>2748.9405932699997</v>
      </c>
      <c r="CH15" s="8">
        <v>2653.9624891199996</v>
      </c>
      <c r="CI15" s="8">
        <v>2671.7392559900004</v>
      </c>
      <c r="CJ15" s="8">
        <v>2711.31959114</v>
      </c>
      <c r="CK15" s="8">
        <v>2739.9159181500004</v>
      </c>
      <c r="CL15" s="8">
        <v>2906.0277566799987</v>
      </c>
      <c r="CM15" s="8">
        <v>3051.17346749</v>
      </c>
      <c r="CN15" s="8">
        <v>3001.8615451400005</v>
      </c>
      <c r="CO15" s="8">
        <v>3149.3339154399996</v>
      </c>
      <c r="CP15" s="8">
        <v>3225.7277206199988</v>
      </c>
      <c r="CQ15" s="8">
        <v>3320.94216932</v>
      </c>
      <c r="CR15" s="8">
        <v>3261.0669825999994</v>
      </c>
      <c r="CS15" s="8">
        <v>3161.9719106899993</v>
      </c>
      <c r="CT15" s="8">
        <v>3098.074455940001</v>
      </c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1:112" ht="15" customHeight="1">
      <c r="A16" s="9" t="s">
        <v>10</v>
      </c>
      <c r="B16" s="8">
        <v>255.26237799999998</v>
      </c>
      <c r="C16" s="8">
        <v>221.237049</v>
      </c>
      <c r="D16" s="8">
        <v>288.018652</v>
      </c>
      <c r="E16" s="8">
        <v>260.459311</v>
      </c>
      <c r="F16" s="8">
        <v>280.90723500000007</v>
      </c>
      <c r="G16" s="8">
        <v>243.064459</v>
      </c>
      <c r="H16" s="8">
        <v>294.241544</v>
      </c>
      <c r="I16" s="8">
        <v>264.123706</v>
      </c>
      <c r="J16" s="8">
        <v>274.131984</v>
      </c>
      <c r="K16" s="8">
        <v>274.412596</v>
      </c>
      <c r="L16" s="8">
        <v>223.952594</v>
      </c>
      <c r="M16" s="8">
        <v>279.852717</v>
      </c>
      <c r="N16" s="8">
        <v>239.403258</v>
      </c>
      <c r="O16" s="8">
        <v>255.97787599999998</v>
      </c>
      <c r="P16" s="8">
        <v>267.78096600000003</v>
      </c>
      <c r="Q16" s="8">
        <v>234.236827</v>
      </c>
      <c r="R16" s="8">
        <v>262.487456</v>
      </c>
      <c r="S16" s="8">
        <v>266.77337299999994</v>
      </c>
      <c r="T16" s="8">
        <v>296.561325</v>
      </c>
      <c r="U16" s="8">
        <v>282.5524909999999</v>
      </c>
      <c r="V16" s="8">
        <v>280.321214</v>
      </c>
      <c r="W16" s="8">
        <v>284.584535</v>
      </c>
      <c r="X16" s="8">
        <v>285.21072200000003</v>
      </c>
      <c r="Y16" s="8">
        <v>285.539035</v>
      </c>
      <c r="Z16" s="8">
        <v>238.04896800000003</v>
      </c>
      <c r="AA16" s="8">
        <v>264.134446</v>
      </c>
      <c r="AB16" s="8">
        <v>275.55258000000003</v>
      </c>
      <c r="AC16" s="8">
        <f>274.990301-5.927355</f>
        <v>269.062946</v>
      </c>
      <c r="AD16" s="8">
        <v>274.993593</v>
      </c>
      <c r="AE16" s="8">
        <v>257.328513</v>
      </c>
      <c r="AF16" s="8">
        <v>301.652605</v>
      </c>
      <c r="AG16" s="8">
        <v>307.875698</v>
      </c>
      <c r="AH16" s="8">
        <v>295.620741</v>
      </c>
      <c r="AI16" s="8">
        <v>300.214399</v>
      </c>
      <c r="AJ16" s="8">
        <v>294.691141</v>
      </c>
      <c r="AK16" s="8">
        <v>307.224356</v>
      </c>
      <c r="AL16" s="8">
        <v>252.578661</v>
      </c>
      <c r="AM16" s="8">
        <v>258.811184</v>
      </c>
      <c r="AN16" s="8">
        <v>292.968308</v>
      </c>
      <c r="AO16" s="8">
        <v>273.531427</v>
      </c>
      <c r="AP16" s="8">
        <v>288.81981</v>
      </c>
      <c r="AQ16" s="8">
        <v>291.480952</v>
      </c>
      <c r="AR16" s="8">
        <v>306.159557</v>
      </c>
      <c r="AS16" s="8">
        <v>322.18077400000004</v>
      </c>
      <c r="AT16" s="8">
        <v>317.853334</v>
      </c>
      <c r="AU16" s="8">
        <v>318.674895</v>
      </c>
      <c r="AV16" s="8">
        <v>314.048321</v>
      </c>
      <c r="AW16" s="8">
        <v>306.953726</v>
      </c>
      <c r="AX16" s="8">
        <v>255.637</v>
      </c>
      <c r="AY16" s="8">
        <v>263.336111</v>
      </c>
      <c r="AZ16" s="8">
        <v>299.47698</v>
      </c>
      <c r="BA16" s="8">
        <v>266.724035</v>
      </c>
      <c r="BB16" s="8">
        <v>306.509309</v>
      </c>
      <c r="BC16" s="8">
        <v>320.456256</v>
      </c>
      <c r="BD16" s="8">
        <v>336.588772</v>
      </c>
      <c r="BE16" s="8">
        <v>341.463272</v>
      </c>
      <c r="BF16" s="8">
        <v>323.025899</v>
      </c>
      <c r="BG16" s="8">
        <v>354.535526</v>
      </c>
      <c r="BH16" s="8">
        <v>316.585698</v>
      </c>
      <c r="BI16" s="8">
        <v>314.952434</v>
      </c>
      <c r="BJ16" s="8">
        <v>291.541168</v>
      </c>
      <c r="BK16" s="8">
        <v>283.380725</v>
      </c>
      <c r="BL16" s="8">
        <v>321.612954</v>
      </c>
      <c r="BM16" s="8">
        <v>305.682052</v>
      </c>
      <c r="BN16" s="8">
        <v>345.732003</v>
      </c>
      <c r="BO16" s="8">
        <v>343.243806</v>
      </c>
      <c r="BP16" s="8">
        <v>370.732554</v>
      </c>
      <c r="BQ16" s="8">
        <v>371.138236</v>
      </c>
      <c r="BR16" s="8">
        <v>350.164687</v>
      </c>
      <c r="BS16" s="8">
        <v>389.000709</v>
      </c>
      <c r="BT16" s="8">
        <v>342.079658</v>
      </c>
      <c r="BU16" s="8">
        <v>353.51496</v>
      </c>
      <c r="BV16" s="8">
        <v>340.352133</v>
      </c>
      <c r="BW16" s="8">
        <v>349.429228</v>
      </c>
      <c r="BX16" s="8">
        <v>295.74991</v>
      </c>
      <c r="BY16" s="8">
        <v>256.976354</v>
      </c>
      <c r="BZ16" s="8">
        <v>270.549909</v>
      </c>
      <c r="CA16" s="8">
        <v>294.481287</v>
      </c>
      <c r="CB16" s="8">
        <v>347.546212</v>
      </c>
      <c r="CC16" s="8">
        <v>359.951707</v>
      </c>
      <c r="CD16" s="8">
        <v>354.382868</v>
      </c>
      <c r="CE16" s="8">
        <v>394.236536</v>
      </c>
      <c r="CF16" s="8">
        <v>353.508131</v>
      </c>
      <c r="CG16" s="8">
        <v>355.662225</v>
      </c>
      <c r="CH16" s="8">
        <v>289.30099199999995</v>
      </c>
      <c r="CI16" s="8">
        <v>301.228904</v>
      </c>
      <c r="CJ16" s="8">
        <v>335.443977</v>
      </c>
      <c r="CK16" s="8">
        <v>318.846316</v>
      </c>
      <c r="CL16" s="8">
        <v>330.7885</v>
      </c>
      <c r="CM16" s="8">
        <v>343.393584</v>
      </c>
      <c r="CN16" s="8">
        <v>375.108788</v>
      </c>
      <c r="CO16" s="8">
        <v>378.80745900000005</v>
      </c>
      <c r="CP16" s="8">
        <v>372.977671</v>
      </c>
      <c r="CQ16" s="8">
        <v>383.93054699999993</v>
      </c>
      <c r="CR16" s="8">
        <v>386.07771199999996</v>
      </c>
      <c r="CS16" s="8">
        <v>395.206588</v>
      </c>
      <c r="CT16" s="8">
        <v>328.042522</v>
      </c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1:112" ht="15" customHeight="1">
      <c r="A17" s="9" t="s">
        <v>25</v>
      </c>
      <c r="B17" s="8">
        <f aca="true" t="shared" si="19" ref="B17:AO17">+B18/B39</f>
        <v>49.65204892806941</v>
      </c>
      <c r="C17" s="8">
        <f t="shared" si="19"/>
        <v>43.74087477148885</v>
      </c>
      <c r="D17" s="8">
        <f t="shared" si="19"/>
        <v>48.13159446168227</v>
      </c>
      <c r="E17" s="8">
        <f t="shared" si="19"/>
        <v>47.161789382829205</v>
      </c>
      <c r="F17" s="8">
        <f t="shared" si="19"/>
        <v>54.373003151583575</v>
      </c>
      <c r="G17" s="8">
        <f t="shared" si="19"/>
        <v>47.326243289153226</v>
      </c>
      <c r="H17" s="8">
        <f t="shared" si="19"/>
        <v>57.253065511796926</v>
      </c>
      <c r="I17" s="8">
        <f t="shared" si="19"/>
        <v>53.31962071712965</v>
      </c>
      <c r="J17" s="8">
        <f t="shared" si="19"/>
        <v>53.8361031832774</v>
      </c>
      <c r="K17" s="8">
        <f t="shared" si="19"/>
        <v>53.15851061981166</v>
      </c>
      <c r="L17" s="8">
        <f t="shared" si="19"/>
        <v>43.68817091244332</v>
      </c>
      <c r="M17" s="8">
        <f t="shared" si="19"/>
        <v>52.85206403807441</v>
      </c>
      <c r="N17" s="8">
        <f t="shared" si="19"/>
        <v>44.93623658829409</v>
      </c>
      <c r="O17" s="8">
        <f t="shared" si="19"/>
        <v>48.051338785518375</v>
      </c>
      <c r="P17" s="8">
        <f t="shared" si="19"/>
        <v>48.687811943493536</v>
      </c>
      <c r="Q17" s="8">
        <f t="shared" si="19"/>
        <v>43.60017841133722</v>
      </c>
      <c r="R17" s="8">
        <f t="shared" si="19"/>
        <v>47.286665964413324</v>
      </c>
      <c r="S17" s="8">
        <f t="shared" si="19"/>
        <v>49.69162316449536</v>
      </c>
      <c r="T17" s="8">
        <f t="shared" si="19"/>
        <v>54.35437364335222</v>
      </c>
      <c r="U17" s="8">
        <f t="shared" si="19"/>
        <v>51.914204818965224</v>
      </c>
      <c r="V17" s="8">
        <f t="shared" si="19"/>
        <v>51.353194191785214</v>
      </c>
      <c r="W17" s="8">
        <f t="shared" si="19"/>
        <v>50.98777622529718</v>
      </c>
      <c r="X17" s="8">
        <f t="shared" si="19"/>
        <v>51.418929577864695</v>
      </c>
      <c r="Y17" s="8">
        <f t="shared" si="19"/>
        <v>50.714472977989224</v>
      </c>
      <c r="Z17" s="8">
        <f t="shared" si="19"/>
        <v>41.79462418043029</v>
      </c>
      <c r="AA17" s="8">
        <f t="shared" si="19"/>
        <v>45.685205670589674</v>
      </c>
      <c r="AB17" s="8">
        <f t="shared" si="19"/>
        <v>47.2952620248246</v>
      </c>
      <c r="AC17" s="8">
        <f t="shared" si="19"/>
        <v>46.00664550579564</v>
      </c>
      <c r="AD17" s="8">
        <f t="shared" si="19"/>
        <v>47.79903200627437</v>
      </c>
      <c r="AE17" s="8">
        <f t="shared" si="19"/>
        <v>44.791509221013676</v>
      </c>
      <c r="AF17" s="8">
        <f t="shared" si="19"/>
        <v>53.97639569622455</v>
      </c>
      <c r="AG17" s="8">
        <f t="shared" si="19"/>
        <v>54.95079726079802</v>
      </c>
      <c r="AH17" s="8">
        <f t="shared" si="19"/>
        <v>52.99520446457577</v>
      </c>
      <c r="AI17" s="8">
        <f t="shared" si="19"/>
        <v>52.53946127062198</v>
      </c>
      <c r="AJ17" s="8">
        <f t="shared" si="19"/>
        <v>53.21701237816408</v>
      </c>
      <c r="AK17" s="8">
        <f t="shared" si="19"/>
        <v>53.7267752078776</v>
      </c>
      <c r="AL17" s="8">
        <f t="shared" si="19"/>
        <v>43.24992844613976</v>
      </c>
      <c r="AM17" s="8">
        <f t="shared" si="19"/>
        <v>45.582883103430476</v>
      </c>
      <c r="AN17" s="8">
        <f t="shared" si="19"/>
        <v>50.64854169266145</v>
      </c>
      <c r="AO17" s="8">
        <f t="shared" si="19"/>
        <v>47.308823813275836</v>
      </c>
      <c r="AP17" s="8">
        <v>50.24630139375468</v>
      </c>
      <c r="AQ17" s="8">
        <v>51.05090580238545</v>
      </c>
      <c r="AR17" s="8">
        <v>54.35051469282147</v>
      </c>
      <c r="AS17" s="8">
        <v>56.31272375608589</v>
      </c>
      <c r="AT17" s="8">
        <v>56.4896277152844</v>
      </c>
      <c r="AU17" s="8">
        <v>57.967334928519755</v>
      </c>
      <c r="AV17" s="8">
        <v>54.62894895725223</v>
      </c>
      <c r="AW17" s="8">
        <v>53.25661032011747</v>
      </c>
      <c r="AX17" s="8">
        <v>43.924255602822555</v>
      </c>
      <c r="AY17" s="8">
        <v>45.8779574281227</v>
      </c>
      <c r="AZ17" s="8">
        <v>49.68942355188603</v>
      </c>
      <c r="BA17" s="8">
        <v>44.53676993704011</v>
      </c>
      <c r="BB17" s="8">
        <v>52.13510049815998</v>
      </c>
      <c r="BC17" s="8">
        <v>55.305084646906586</v>
      </c>
      <c r="BD17" s="8">
        <v>57.4875695436642</v>
      </c>
      <c r="BE17" s="8">
        <v>58.792907239842684</v>
      </c>
      <c r="BF17" s="8">
        <v>55.50762016426875</v>
      </c>
      <c r="BG17" s="8">
        <v>59.7895413408168</v>
      </c>
      <c r="BH17" s="8">
        <v>53.37188699496384</v>
      </c>
      <c r="BI17" s="8">
        <v>52.342718227843065</v>
      </c>
      <c r="BJ17" s="8">
        <v>47.62731300636611</v>
      </c>
      <c r="BK17" s="8">
        <v>47.32611620508736</v>
      </c>
      <c r="BL17" s="8">
        <v>52.52073604243499</v>
      </c>
      <c r="BM17" s="8">
        <v>49.51130980652419</v>
      </c>
      <c r="BN17" s="8">
        <v>56.41996629625015</v>
      </c>
      <c r="BO17" s="8">
        <v>57.33635195629475</v>
      </c>
      <c r="BP17" s="8">
        <v>59.938589024566674</v>
      </c>
      <c r="BQ17" s="8">
        <v>60.20246850452168</v>
      </c>
      <c r="BR17" s="8">
        <v>56.5817259622104</v>
      </c>
      <c r="BS17" s="8">
        <v>60.941051416720065</v>
      </c>
      <c r="BT17" s="8">
        <v>54.670156705523645</v>
      </c>
      <c r="BU17" s="8">
        <v>54.25438091653403</v>
      </c>
      <c r="BV17" s="8">
        <v>52.55178855722048</v>
      </c>
      <c r="BW17" s="8">
        <v>50.87511119013982</v>
      </c>
      <c r="BX17" s="8">
        <v>44.64935981979534</v>
      </c>
      <c r="BY17" s="8">
        <v>39.86827749248642</v>
      </c>
      <c r="BZ17" s="8">
        <v>41.490184068284975</v>
      </c>
      <c r="CA17" s="8">
        <v>43.729353081972484</v>
      </c>
      <c r="CB17" s="8">
        <v>51.76789562294757</v>
      </c>
      <c r="CC17" s="8">
        <v>53.47702427658093</v>
      </c>
      <c r="CD17" s="8">
        <v>51.15141056465213</v>
      </c>
      <c r="CE17" s="8">
        <v>57.25452846656796</v>
      </c>
      <c r="CF17" s="8">
        <v>50.085776061805795</v>
      </c>
      <c r="CG17" s="8">
        <v>49.62656217105602</v>
      </c>
      <c r="CH17" s="8">
        <v>39.983413821100555</v>
      </c>
      <c r="CI17" s="8">
        <v>42.473617625067135</v>
      </c>
      <c r="CJ17" s="8">
        <v>48.31106563206027</v>
      </c>
      <c r="CK17" s="8">
        <v>46.022402297864154</v>
      </c>
      <c r="CL17" s="8">
        <v>48.3282409119028</v>
      </c>
      <c r="CM17" s="8">
        <v>50.094607728206874</v>
      </c>
      <c r="CN17" s="8">
        <v>53.61999727479037</v>
      </c>
      <c r="CO17" s="20">
        <v>53.97018785851761</v>
      </c>
      <c r="CP17" s="8">
        <v>54.463212641519405</v>
      </c>
      <c r="CQ17" s="8">
        <v>56.78750504528958</v>
      </c>
      <c r="CR17" s="8">
        <v>57.59300362930522</v>
      </c>
      <c r="CS17" s="8">
        <v>58.87346823308567</v>
      </c>
      <c r="CT17" s="8">
        <v>49.194562394220554</v>
      </c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1:112" ht="15" customHeight="1">
      <c r="A18" s="9" t="s">
        <v>26</v>
      </c>
      <c r="B18" s="8">
        <v>2133.5088208</v>
      </c>
      <c r="C18" s="8">
        <v>1888.80533212</v>
      </c>
      <c r="D18" s="8">
        <v>2080.19456788</v>
      </c>
      <c r="E18" s="8">
        <v>2037.55908378</v>
      </c>
      <c r="F18" s="8">
        <v>2353.44326623</v>
      </c>
      <c r="G18" s="8">
        <v>2057.79711708</v>
      </c>
      <c r="H18" s="8">
        <v>2494.79660437</v>
      </c>
      <c r="I18" s="8">
        <v>2324.82077466</v>
      </c>
      <c r="J18" s="8">
        <v>2356.1460285</v>
      </c>
      <c r="K18" s="8">
        <v>2334.11046355</v>
      </c>
      <c r="L18" s="8">
        <v>1928.71915654</v>
      </c>
      <c r="M18" s="8">
        <v>2339.26935077</v>
      </c>
      <c r="N18" s="8">
        <v>2004.51214669</v>
      </c>
      <c r="O18" s="8">
        <v>2156.62577197</v>
      </c>
      <c r="P18" s="8">
        <v>2178.89643522</v>
      </c>
      <c r="Q18" s="8">
        <v>1953.16259041</v>
      </c>
      <c r="R18" s="8">
        <v>2121.52099716</v>
      </c>
      <c r="S18" s="8">
        <v>2231.89215563</v>
      </c>
      <c r="T18" s="8">
        <v>2449.23832576</v>
      </c>
      <c r="U18" s="8">
        <v>2343.57654472</v>
      </c>
      <c r="V18" s="8">
        <v>2322.61376024</v>
      </c>
      <c r="W18" s="8">
        <v>2311.47474862</v>
      </c>
      <c r="X18" s="8">
        <v>2336.13165319</v>
      </c>
      <c r="Y18" s="8">
        <v>2308.9133114</v>
      </c>
      <c r="Z18" s="8">
        <v>1906.47849984</v>
      </c>
      <c r="AA18" s="8">
        <v>2090.74688935</v>
      </c>
      <c r="AB18" s="8">
        <v>2166.5675762</v>
      </c>
      <c r="AC18" s="8">
        <v>2109.5657197</v>
      </c>
      <c r="AD18" s="8">
        <v>2194.02336812</v>
      </c>
      <c r="AE18" s="8">
        <v>2058.35471548</v>
      </c>
      <c r="AF18" s="8">
        <v>2482.61733185</v>
      </c>
      <c r="AG18" s="8">
        <v>2528.07187386</v>
      </c>
      <c r="AH18" s="8">
        <v>2447.03236807</v>
      </c>
      <c r="AI18" s="8">
        <v>2439.78021697</v>
      </c>
      <c r="AJ18" s="8">
        <v>2479.34335479</v>
      </c>
      <c r="AK18" s="8">
        <v>2507.64887873</v>
      </c>
      <c r="AL18" s="8">
        <v>2023.3527525100674</v>
      </c>
      <c r="AM18" s="8">
        <v>2148.2529063400234</v>
      </c>
      <c r="AN18" s="8">
        <v>2396.5471769800006</v>
      </c>
      <c r="AO18" s="8">
        <v>2242.25426999</v>
      </c>
      <c r="AP18" s="8">
        <v>2383.6945873800005</v>
      </c>
      <c r="AQ18" s="8">
        <v>2425.15285978</v>
      </c>
      <c r="AR18" s="8">
        <v>2583.6875922100007</v>
      </c>
      <c r="AS18" s="8">
        <v>2679.4272275499998</v>
      </c>
      <c r="AT18" s="8">
        <v>2695.7189283500006</v>
      </c>
      <c r="AU18" s="8">
        <v>2772.6587839</v>
      </c>
      <c r="AV18" s="8">
        <v>2620.743183490001</v>
      </c>
      <c r="AW18" s="8">
        <v>2566.90843746</v>
      </c>
      <c r="AX18" s="8">
        <v>2127.018900290001</v>
      </c>
      <c r="AY18" s="8">
        <v>2240.5280435299996</v>
      </c>
      <c r="AZ18" s="8">
        <v>2444.8644479300006</v>
      </c>
      <c r="BA18" s="8">
        <v>2199.2568752299967</v>
      </c>
      <c r="BB18" s="8">
        <v>2575.5678077899997</v>
      </c>
      <c r="BC18" s="8">
        <v>2732.9615934200006</v>
      </c>
      <c r="BD18" s="8">
        <v>2850.46939701</v>
      </c>
      <c r="BE18" s="8">
        <v>2923.630174060001</v>
      </c>
      <c r="BF18" s="8">
        <v>2765.4340426800004</v>
      </c>
      <c r="BG18" s="8">
        <v>2988.101907590001</v>
      </c>
      <c r="BH18" s="8">
        <v>2675.9329842099996</v>
      </c>
      <c r="BI18" s="8">
        <v>2628.12788222</v>
      </c>
      <c r="BJ18" s="8">
        <v>2399.2782827399997</v>
      </c>
      <c r="BK18" s="8">
        <v>2389.4814093599994</v>
      </c>
      <c r="BL18" s="8">
        <v>2654.56606594</v>
      </c>
      <c r="BM18" s="8">
        <v>2505.3865940400005</v>
      </c>
      <c r="BN18" s="8">
        <v>2852.85866978</v>
      </c>
      <c r="BO18" s="8">
        <v>2906.4272953799996</v>
      </c>
      <c r="BP18" s="8">
        <v>3049.2550765200003</v>
      </c>
      <c r="BQ18" s="8">
        <v>3080.8974472</v>
      </c>
      <c r="BR18" s="8">
        <v>2922.99498869</v>
      </c>
      <c r="BS18" s="8">
        <v>3214.55514476</v>
      </c>
      <c r="BT18" s="8">
        <v>2890.3619818800003</v>
      </c>
      <c r="BU18" s="8">
        <v>2870.610145169999</v>
      </c>
      <c r="BV18" s="8">
        <v>2790.95191777</v>
      </c>
      <c r="BW18" s="8">
        <v>2715.21485924</v>
      </c>
      <c r="BX18" s="8">
        <v>2399.40748242</v>
      </c>
      <c r="BY18" s="8">
        <v>2160.93638982</v>
      </c>
      <c r="BZ18" s="8">
        <v>2298.1993818</v>
      </c>
      <c r="CA18" s="8">
        <v>2533.47318961</v>
      </c>
      <c r="CB18" s="8">
        <v>3020.4082237000007</v>
      </c>
      <c r="CC18" s="8">
        <v>3127.4807676599994</v>
      </c>
      <c r="CD18" s="8">
        <v>2990.8945876900007</v>
      </c>
      <c r="CE18" s="8">
        <v>3348.5769009900005</v>
      </c>
      <c r="CF18" s="8">
        <v>2927.3934049500003</v>
      </c>
      <c r="CG18" s="8">
        <v>2893.99282363</v>
      </c>
      <c r="CH18" s="8">
        <v>2331.2929179599996</v>
      </c>
      <c r="CI18" s="8">
        <v>2467.5812684400003</v>
      </c>
      <c r="CJ18" s="8">
        <v>2775.5576804800003</v>
      </c>
      <c r="CK18" s="8">
        <v>2627.7180928000002</v>
      </c>
      <c r="CL18" s="8">
        <v>2756.6539080700013</v>
      </c>
      <c r="CM18" s="8">
        <v>2861.6945421600003</v>
      </c>
      <c r="CN18" s="8">
        <v>3066.82791613</v>
      </c>
      <c r="CO18" s="8">
        <v>3086.3054957599998</v>
      </c>
      <c r="CP18" s="8">
        <v>3091.2774863199998</v>
      </c>
      <c r="CQ18" s="8">
        <v>3209.29473888</v>
      </c>
      <c r="CR18" s="8">
        <v>3266.767314659999</v>
      </c>
      <c r="CS18" s="8">
        <v>3365.21333155</v>
      </c>
      <c r="CT18" s="8">
        <v>2845.0494491199997</v>
      </c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s="6" customFormat="1" ht="15" customHeight="1">
      <c r="A19" s="9" t="s">
        <v>19</v>
      </c>
      <c r="B19" s="8">
        <v>2157.1582502799997</v>
      </c>
      <c r="C19" s="8">
        <v>1910.0903886</v>
      </c>
      <c r="D19" s="8">
        <v>2107.2445598900003</v>
      </c>
      <c r="E19" s="8">
        <v>2062.11986029</v>
      </c>
      <c r="F19" s="8">
        <v>2376.87148456</v>
      </c>
      <c r="G19" s="8">
        <v>2082.58587554</v>
      </c>
      <c r="H19" s="8">
        <v>2521.6995233100006</v>
      </c>
      <c r="I19" s="8">
        <v>2350.3693114400003</v>
      </c>
      <c r="J19" s="8">
        <v>2383.90361568</v>
      </c>
      <c r="K19" s="8">
        <v>2363.54769262</v>
      </c>
      <c r="L19" s="8">
        <v>1952.57365785</v>
      </c>
      <c r="M19" s="8">
        <v>2366.1226254000007</v>
      </c>
      <c r="N19" s="8">
        <v>2029.5161823</v>
      </c>
      <c r="O19" s="8">
        <v>2184.96807059</v>
      </c>
      <c r="P19" s="8">
        <v>2206.76883336</v>
      </c>
      <c r="Q19" s="8">
        <v>1978.3022756999999</v>
      </c>
      <c r="R19" s="8">
        <v>2147.24589885</v>
      </c>
      <c r="S19" s="8">
        <v>2255.14250175</v>
      </c>
      <c r="T19" s="8">
        <v>2477.04703119</v>
      </c>
      <c r="U19" s="8">
        <v>2369.38279194</v>
      </c>
      <c r="V19" s="8">
        <v>2350.2014811599997</v>
      </c>
      <c r="W19" s="8">
        <v>2337.21502226</v>
      </c>
      <c r="X19" s="8">
        <v>2361.8068336500005</v>
      </c>
      <c r="Y19" s="8">
        <v>2337.82079434</v>
      </c>
      <c r="Z19" s="8">
        <v>1929.1048225000002</v>
      </c>
      <c r="AA19" s="8">
        <v>2118.44791271</v>
      </c>
      <c r="AB19" s="8">
        <v>2194.6985352700003</v>
      </c>
      <c r="AC19" s="8">
        <v>2137.63794272</v>
      </c>
      <c r="AD19" s="8">
        <v>2222.3249769000004</v>
      </c>
      <c r="AE19" s="8">
        <v>2084.9455965999996</v>
      </c>
      <c r="AF19" s="8">
        <v>2509.4023014100003</v>
      </c>
      <c r="AG19" s="8">
        <v>2553.59528567</v>
      </c>
      <c r="AH19" s="8">
        <v>2472.51473329</v>
      </c>
      <c r="AI19" s="8">
        <v>2464.92373421</v>
      </c>
      <c r="AJ19" s="8">
        <v>2503.0979442</v>
      </c>
      <c r="AK19" s="8">
        <v>2531.99981105</v>
      </c>
      <c r="AL19" s="8">
        <v>2045.26949889</v>
      </c>
      <c r="AM19" s="8">
        <v>2173.59494908</v>
      </c>
      <c r="AN19" s="8">
        <v>2424.5902289800006</v>
      </c>
      <c r="AO19" s="8">
        <v>2266.24272316</v>
      </c>
      <c r="AP19" s="8">
        <v>2408.7748899300004</v>
      </c>
      <c r="AQ19" s="8">
        <v>2452.70697414</v>
      </c>
      <c r="AR19" s="8">
        <v>2611.5710154900007</v>
      </c>
      <c r="AS19" s="8">
        <v>2707.7152985199996</v>
      </c>
      <c r="AT19" s="8">
        <v>2722.3862699100005</v>
      </c>
      <c r="AU19" s="8">
        <v>2799.5395576299998</v>
      </c>
      <c r="AV19" s="8">
        <v>2645.900026660001</v>
      </c>
      <c r="AW19" s="8">
        <v>2592.69007293</v>
      </c>
      <c r="AX19" s="8">
        <v>2152.500915530001</v>
      </c>
      <c r="AY19" s="8">
        <v>2265.1270282699998</v>
      </c>
      <c r="AZ19" s="8">
        <v>2469.1944654200006</v>
      </c>
      <c r="BA19" s="8">
        <v>2222.3353457599997</v>
      </c>
      <c r="BB19" s="8">
        <v>2603.81132343</v>
      </c>
      <c r="BC19" s="8">
        <v>2760.3526965900005</v>
      </c>
      <c r="BD19" s="8">
        <v>2878.9789919</v>
      </c>
      <c r="BE19" s="8">
        <v>2953.059872590001</v>
      </c>
      <c r="BF19" s="8">
        <v>2793.27009011</v>
      </c>
      <c r="BG19" s="8">
        <v>3017.7377070199996</v>
      </c>
      <c r="BH19" s="8">
        <v>2705.0156565499997</v>
      </c>
      <c r="BI19" s="8">
        <v>2654.9365298000002</v>
      </c>
      <c r="BJ19" s="8">
        <v>2428.7769516699996</v>
      </c>
      <c r="BK19" s="8">
        <v>2413.6882939199995</v>
      </c>
      <c r="BL19" s="8">
        <v>2681.41998401</v>
      </c>
      <c r="BM19" s="8">
        <v>2529.7686950499997</v>
      </c>
      <c r="BN19" s="8">
        <v>2881.85520602</v>
      </c>
      <c r="BO19" s="8">
        <v>2935.2854462399996</v>
      </c>
      <c r="BP19" s="8">
        <v>3079.563136</v>
      </c>
      <c r="BQ19" s="8">
        <v>3107.30616251</v>
      </c>
      <c r="BR19" s="8">
        <v>2948.16400484</v>
      </c>
      <c r="BS19" s="8">
        <v>3242.10624138</v>
      </c>
      <c r="BT19" s="8">
        <v>2915.65198188</v>
      </c>
      <c r="BU19" s="8">
        <v>2894.9532354799994</v>
      </c>
      <c r="BV19" s="8">
        <v>2817.3889033699998</v>
      </c>
      <c r="BW19" s="8">
        <v>2740.8284002</v>
      </c>
      <c r="BX19" s="8">
        <v>2420.84550724</v>
      </c>
      <c r="BY19" s="8">
        <v>2166.39607593</v>
      </c>
      <c r="BZ19" s="8">
        <v>2305.62280551</v>
      </c>
      <c r="CA19" s="8">
        <v>2550.92578768</v>
      </c>
      <c r="CB19" s="8">
        <v>3039.0733383100005</v>
      </c>
      <c r="CC19" s="8">
        <v>3149.0240850899995</v>
      </c>
      <c r="CD19" s="8">
        <v>3017.7575812700006</v>
      </c>
      <c r="CE19" s="8">
        <v>3382.2821268100006</v>
      </c>
      <c r="CF19" s="8">
        <v>2957.8783214200002</v>
      </c>
      <c r="CG19" s="8">
        <v>2930.147257</v>
      </c>
      <c r="CH19" s="8">
        <v>2364.31497315</v>
      </c>
      <c r="CI19" s="8">
        <v>2500.10608957</v>
      </c>
      <c r="CJ19" s="8">
        <v>2813.5376068600003</v>
      </c>
      <c r="CK19" s="8">
        <v>2663.79272506</v>
      </c>
      <c r="CL19" s="8">
        <v>2787.890035270001</v>
      </c>
      <c r="CM19" s="8">
        <v>2893.40243644</v>
      </c>
      <c r="CN19" s="8">
        <v>3098.76104853</v>
      </c>
      <c r="CO19" s="8">
        <v>3119.13965848</v>
      </c>
      <c r="CP19" s="8">
        <v>3123.04331543</v>
      </c>
      <c r="CQ19" s="8">
        <v>3243.28265694</v>
      </c>
      <c r="CR19" s="8">
        <v>3299.8778133299993</v>
      </c>
      <c r="CS19" s="8">
        <v>3399.13532612</v>
      </c>
      <c r="CT19" s="8">
        <v>2876.7230087</v>
      </c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1:112" ht="15" customHeight="1">
      <c r="A20" s="9" t="s">
        <v>11</v>
      </c>
      <c r="B20" s="8">
        <v>8.49429569416093</v>
      </c>
      <c r="C20" s="8">
        <v>9.148563153765531</v>
      </c>
      <c r="D20" s="8">
        <v>7.764976782498566</v>
      </c>
      <c r="E20" s="8">
        <v>9.309333077625503</v>
      </c>
      <c r="F20" s="8">
        <v>9.623853393603673</v>
      </c>
      <c r="G20" s="8">
        <v>10.022473849503482</v>
      </c>
      <c r="H20" s="8">
        <v>10.764386317397667</v>
      </c>
      <c r="I20" s="8">
        <v>11.21749604046823</v>
      </c>
      <c r="J20" s="8">
        <v>10.263006456216802</v>
      </c>
      <c r="K20" s="8">
        <v>9.689378703674848</v>
      </c>
      <c r="L20" s="8">
        <v>9.399257151222917</v>
      </c>
      <c r="M20" s="8">
        <v>6.510533003300418</v>
      </c>
      <c r="N20" s="8">
        <v>4.46341452108457</v>
      </c>
      <c r="O20" s="8">
        <v>1.5146557927345108</v>
      </c>
      <c r="P20" s="8">
        <v>-0.9215641774831336</v>
      </c>
      <c r="Q20" s="8">
        <v>0.8868179860215857</v>
      </c>
      <c r="R20" s="8">
        <v>0.41595000728022197</v>
      </c>
      <c r="S20" s="8">
        <v>0.9661708889050422</v>
      </c>
      <c r="T20" s="8">
        <v>1.193448957048311</v>
      </c>
      <c r="U20" s="8">
        <v>1.2859368789510985</v>
      </c>
      <c r="V20" s="8">
        <v>-0.3075644455479724</v>
      </c>
      <c r="W20" s="8">
        <v>-2.7107723550545386</v>
      </c>
      <c r="X20" s="8">
        <v>-3.049870727401041</v>
      </c>
      <c r="Y20" s="8">
        <v>-2.1096986349754006</v>
      </c>
      <c r="Z20" s="8">
        <v>-2.712254179830875</v>
      </c>
      <c r="AA20" s="8">
        <v>-5.312932908104858</v>
      </c>
      <c r="AB20" s="8">
        <v>-5.947573886116344</v>
      </c>
      <c r="AC20" s="8">
        <v>-5.63326472788809</v>
      </c>
      <c r="AD20" s="8">
        <v>-5.057185148141101</v>
      </c>
      <c r="AE20" s="8">
        <v>-4.855972561766212</v>
      </c>
      <c r="AF20" s="8">
        <v>-3.6434714934357806</v>
      </c>
      <c r="AG20" s="8">
        <v>-2.5838572152188943</v>
      </c>
      <c r="AH20" s="8">
        <v>-2.6122424101483723</v>
      </c>
      <c r="AI20" s="8">
        <v>-2.2198619492998226</v>
      </c>
      <c r="AJ20" s="8">
        <v>-1.150965755891533</v>
      </c>
      <c r="AK20" s="8">
        <v>0.20278072043467577</v>
      </c>
      <c r="AL20" s="8">
        <v>0.8188049632213142</v>
      </c>
      <c r="AM20" s="8">
        <f>168.566046209714/AM39</f>
        <v>3.5767326821289447</v>
      </c>
      <c r="AN20" s="8">
        <f>185.527974108368/AN39</f>
        <v>3.920941520385145</v>
      </c>
      <c r="AO20" s="8">
        <f>214.717914765553/AO39</f>
        <v>4.53028549667689</v>
      </c>
      <c r="AP20" s="8">
        <f>155.251183790628/AP39</f>
        <v>3.272565962846447</v>
      </c>
      <c r="AQ20" s="8">
        <f>174.95926494252/AQ39</f>
        <v>3.68299627704517</v>
      </c>
      <c r="AR20" s="8">
        <f>192.276336080185/AR39</f>
        <v>4.044729657221877</v>
      </c>
      <c r="AS20" s="8">
        <f>160.791326266697/AS39</f>
        <v>3.379303399372589</v>
      </c>
      <c r="AT20" s="8">
        <f>194.903330211388/AT39</f>
        <v>4.0842598419003115</v>
      </c>
      <c r="AU20" s="8">
        <f>225.965038085316/AU39</f>
        <v>4.724198708072856</v>
      </c>
      <c r="AV20" s="8">
        <f>253.268106514374/AV39</f>
        <v>5.2793308976001185</v>
      </c>
      <c r="AW20" s="8">
        <f>267.624051439771/AW39</f>
        <v>5.552496385076476</v>
      </c>
      <c r="AX20" s="8">
        <f>365.995786480246/AX39</f>
        <v>7.5580393163044075</v>
      </c>
      <c r="AY20" s="8">
        <f>372.783630174204/AY39</f>
        <v>7.6332682219356345</v>
      </c>
      <c r="AZ20" s="8">
        <f>378.712143802953/AZ39</f>
        <v>7.696945380182682</v>
      </c>
      <c r="BA20" s="8">
        <f>436.663690487779/BA39</f>
        <v>8.842800739717724</v>
      </c>
      <c r="BB20" s="8">
        <f>446.285568008594/BB39</f>
        <v>9.033791643393439</v>
      </c>
      <c r="BC20" s="8">
        <f>505.152889137376/BC39</f>
        <v>10.22243538315197</v>
      </c>
      <c r="BD20" s="8">
        <f>616.898512814176/BD39</f>
        <v>12.441458306476795</v>
      </c>
      <c r="BE20" s="8">
        <f>644.321874272993/BE39</f>
        <v>12.957027370574751</v>
      </c>
      <c r="BF20" s="8">
        <f>679.098250282563/BF39</f>
        <v>13.63081785685021</v>
      </c>
      <c r="BG20" s="8">
        <f>628.431791689279/BG39</f>
        <v>12.574420067016407</v>
      </c>
      <c r="BH20" s="8">
        <f>676.669840200255/BH39</f>
        <v>13.496282028426924</v>
      </c>
      <c r="BI20" s="8">
        <f>740.993214121241/BI39</f>
        <v>14.757881181462675</v>
      </c>
      <c r="BJ20" s="8">
        <f>659.096238954064/BJ39</f>
        <v>13.08351061225589</v>
      </c>
      <c r="BK20" s="8">
        <f>547.140256631877/BK39</f>
        <v>10.836670779027743</v>
      </c>
      <c r="BL20" s="8">
        <f>615.271085476929/BL39</f>
        <v>12.173172364965593</v>
      </c>
      <c r="BM20" s="8">
        <f>704.32971123728/BM39</f>
        <v>13.932666129348558</v>
      </c>
      <c r="BN20" s="8">
        <f>725.639900181141/BN39</f>
        <v>14.350720961088289</v>
      </c>
      <c r="BO20" s="8">
        <f>793.125470402799/BO39</f>
        <v>15.634958226034279</v>
      </c>
      <c r="BP20" s="8">
        <f>715.15193741449/BP39</f>
        <v>14.04425922775911</v>
      </c>
      <c r="BQ20" s="8">
        <f>572.588305185269/BQ39</f>
        <v>11.188697449277955</v>
      </c>
      <c r="BR20" s="8">
        <f>663.283345485545/BR39</f>
        <v>12.839473428718035</v>
      </c>
      <c r="BS20" s="8">
        <f>475.093569088765/BS39</f>
        <v>9.006752199845398</v>
      </c>
      <c r="BT20" s="8">
        <f>609.291289858377/BT39</f>
        <v>11.524525476287225</v>
      </c>
      <c r="BU20" s="8">
        <f>519.462162535932/BU39</f>
        <v>9.817807578424045</v>
      </c>
      <c r="BV20" s="8">
        <f>414.301676812126/BV39</f>
        <v>7.801028022055298</v>
      </c>
      <c r="BW20" s="8">
        <f>399.393813693679/BW39</f>
        <v>7.4834610642957875</v>
      </c>
      <c r="BX20" s="8">
        <f>406.633257483878/BX39</f>
        <v>7.566832545583888</v>
      </c>
      <c r="BY20" s="8">
        <f>365.219512925278/BY39</f>
        <v>6.738131189594424</v>
      </c>
      <c r="BZ20" s="8">
        <f>362.344597435087/BZ39</f>
        <v>6.5415316716148535</v>
      </c>
      <c r="CA20" s="8">
        <f>368.633626865972/CA39</f>
        <v>6.362850056286444</v>
      </c>
      <c r="CB20" s="8">
        <f>292.51022259711/CB39</f>
        <v>5.013441081650418</v>
      </c>
      <c r="CC20" s="8">
        <f>307.177420303924/CC39</f>
        <v>5.25244936201516</v>
      </c>
      <c r="CD20" s="8">
        <f>310.187608326996/CD39</f>
        <v>5.304945808155713</v>
      </c>
      <c r="CE20" s="8">
        <f>430.99022358053/CE39</f>
        <v>7.369142998480487</v>
      </c>
      <c r="CF20" s="8">
        <f>417.471570013902/CF39</f>
        <v>7.142664027503302</v>
      </c>
      <c r="CG20" s="8">
        <f>341.217619444185/CG39</f>
        <v>5.851243744262836</v>
      </c>
      <c r="CH20" s="8">
        <f>476.996573078013/CH39</f>
        <v>8.180847299666642</v>
      </c>
      <c r="CI20" s="8">
        <f>471.440216684001/CI39</f>
        <v>8.114736382795627</v>
      </c>
      <c r="CJ20" s="8">
        <f>474.994771857502/CJ39</f>
        <v>8.26770913805141</v>
      </c>
      <c r="CK20" s="8">
        <f>610.962337389392/CK39</f>
        <v>10.70052170254555</v>
      </c>
      <c r="CL20" s="8">
        <f>620.396617951852/CL39</f>
        <v>10.876474963191303</v>
      </c>
      <c r="CM20" s="8">
        <f>640.284152835778/CM39</f>
        <v>11.208318357655875</v>
      </c>
      <c r="CN20" s="8">
        <f>811.69307675554/CN39</f>
        <v>14.19153006097567</v>
      </c>
      <c r="CO20" s="8">
        <f>818.123887899757/CO39</f>
        <v>14.306522793077468</v>
      </c>
      <c r="CP20" s="8">
        <f>839.223675915372/CP39</f>
        <v>14.785737520311704</v>
      </c>
      <c r="CQ20" s="8">
        <f>880.411885314532/CQ39</f>
        <v>15.578623481830764</v>
      </c>
      <c r="CR20" s="8">
        <f>838.160261093845/CR39</f>
        <v>14.77673868674094</v>
      </c>
      <c r="CS20" s="8">
        <f>818.250368441784/CS39</f>
        <v>14.31506187780959</v>
      </c>
      <c r="CT20" s="8">
        <f>765.407039489001/CT39</f>
        <v>13.234871672534194</v>
      </c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12" ht="15" customHeight="1">
      <c r="A21" s="9" t="s">
        <v>12</v>
      </c>
      <c r="B21" s="8">
        <v>0.5503809584539622</v>
      </c>
      <c r="C21" s="8">
        <v>0.4929184464715378</v>
      </c>
      <c r="D21" s="8">
        <v>0.6258833984668744</v>
      </c>
      <c r="E21" s="8">
        <v>0.5684891191937709</v>
      </c>
      <c r="F21" s="8">
        <v>0.5412760984604859</v>
      </c>
      <c r="G21" s="8">
        <v>0.5701042167746446</v>
      </c>
      <c r="H21" s="8">
        <v>0.6173948520822771</v>
      </c>
      <c r="I21" s="8">
        <v>0.5859541113170159</v>
      </c>
      <c r="J21" s="8">
        <v>0.6342392659306679</v>
      </c>
      <c r="K21" s="8">
        <v>0.6704221066536091</v>
      </c>
      <c r="L21" s="8">
        <v>0.5403376259983602</v>
      </c>
      <c r="M21" s="8">
        <v>0.6067065212638203</v>
      </c>
      <c r="N21" s="8">
        <v>0.5605290353009045</v>
      </c>
      <c r="O21" s="8">
        <v>0.6314889725656564</v>
      </c>
      <c r="P21" s="8">
        <v>0.6228134835226714</v>
      </c>
      <c r="Q21" s="8">
        <v>0.5611897182706023</v>
      </c>
      <c r="R21" s="8">
        <v>0.5733834217892557</v>
      </c>
      <c r="S21" s="8">
        <v>0.5176532981260107</v>
      </c>
      <c r="T21" s="8">
        <v>0.6171415192907315</v>
      </c>
      <c r="U21" s="8">
        <v>0.5716517671503857</v>
      </c>
      <c r="V21" s="8">
        <v>0.6099672531739054</v>
      </c>
      <c r="W21" s="8">
        <v>0.5677930564103247</v>
      </c>
      <c r="X21" s="8">
        <v>0.5651181063228946</v>
      </c>
      <c r="Y21" s="8">
        <v>0.6349427478216562</v>
      </c>
      <c r="Z21" s="8">
        <v>0.4960237696041248</v>
      </c>
      <c r="AA21" s="8">
        <v>0.6052989751814747</v>
      </c>
      <c r="AB21" s="8">
        <v>0.6140870447986673</v>
      </c>
      <c r="AC21" s="8">
        <v>0.612215491074836</v>
      </c>
      <c r="AD21" s="8">
        <v>0.6165793507766717</v>
      </c>
      <c r="AE21" s="8">
        <v>0.5786396717358852</v>
      </c>
      <c r="AF21" s="8">
        <v>0.5823515759492964</v>
      </c>
      <c r="AG21" s="8">
        <v>0.554783209400494</v>
      </c>
      <c r="AH21" s="8">
        <v>0.5518697556665353</v>
      </c>
      <c r="AI21" s="8">
        <v>0.5414532182242213</v>
      </c>
      <c r="AJ21" s="8">
        <v>0.5098722112158799</v>
      </c>
      <c r="AK21" s="8">
        <v>0.5217225896160831</v>
      </c>
      <c r="AL21" s="8">
        <v>0.46847872252195233</v>
      </c>
      <c r="AM21" s="8">
        <v>0.5377222432286197</v>
      </c>
      <c r="AN21" s="8">
        <v>0.592660842568876</v>
      </c>
      <c r="AO21" s="8">
        <f>23.98845317/AO39</f>
        <v>0.5061270346371598</v>
      </c>
      <c r="AP21" s="8">
        <f>25.08030255/AP39</f>
        <v>0.5286719396208279</v>
      </c>
      <c r="AQ21" s="8">
        <f>27.55411436/AQ39</f>
        <v>0.5800304467356845</v>
      </c>
      <c r="AR21" s="8">
        <f>27.88342328/AR39</f>
        <v>0.5865563666579016</v>
      </c>
      <c r="AS21" s="8">
        <f>28.28807097/AS39</f>
        <v>0.5945219596737253</v>
      </c>
      <c r="AT21" s="8">
        <f>26.66734156/AT39</f>
        <v>0.5588224280499408</v>
      </c>
      <c r="AU21" s="8">
        <f>26.88077373/AU39</f>
        <v>0.5619901096350932</v>
      </c>
      <c r="AV21" s="8">
        <f>25.15684317/AV39</f>
        <v>0.524390146320788</v>
      </c>
      <c r="AW21" s="8">
        <f>25.78163547/AW39</f>
        <v>0.5349012429129563</v>
      </c>
      <c r="AX21" s="8">
        <f>25.48201524/AX39</f>
        <v>0.526219372345105</v>
      </c>
      <c r="AY21" s="8">
        <f>24.59898474/AY39</f>
        <v>0.5036987499155348</v>
      </c>
      <c r="AZ21" s="8">
        <f>24.33001749/AZ39</f>
        <v>0.49448326066051845</v>
      </c>
      <c r="BA21" s="8">
        <f>23.0784705300029/BA39</f>
        <v>0.46735810812732304</v>
      </c>
      <c r="BB21" s="8">
        <f>28.24351564/BB39</f>
        <v>0.5717102542822325</v>
      </c>
      <c r="BC21" s="8">
        <f>27.39110317/BC39</f>
        <v>0.554295121832763</v>
      </c>
      <c r="BD21" s="8">
        <f>28.50959489/BD39</f>
        <v>0.5749745359903679</v>
      </c>
      <c r="BE21" s="8">
        <f>29.42969853/BE39</f>
        <v>0.59181819613253</v>
      </c>
      <c r="BF21" s="8">
        <f>27.83604743/BF39</f>
        <v>0.558723413313315</v>
      </c>
      <c r="BG21" s="8">
        <f>29.6357994299989/BG39</f>
        <v>0.5929887634311564</v>
      </c>
      <c r="BH21" s="8">
        <f>29.08267234/BH39</f>
        <v>0.5800582865120917</v>
      </c>
      <c r="BI21" s="8">
        <f>26.80864758/BI39</f>
        <v>0.5339304437363075</v>
      </c>
      <c r="BJ21" s="8">
        <f>29.49866893/BJ39</f>
        <v>0.5855687306083639</v>
      </c>
      <c r="BK21" s="8">
        <f>24.20688456/BK39</f>
        <v>0.4794420359003915</v>
      </c>
      <c r="BL21" s="8">
        <f>26.85391807/BL39</f>
        <v>0.5313062502967758</v>
      </c>
      <c r="BM21" s="8">
        <f>24.382101009999/BM39</f>
        <v>0.4823134215190377</v>
      </c>
      <c r="BN21" s="8">
        <f>28.99653624/BN39</f>
        <v>0.5734541338127191</v>
      </c>
      <c r="BO21" s="8">
        <f>28.85815086/BO39</f>
        <v>0.5688834869312033</v>
      </c>
      <c r="BP21" s="8">
        <f>30.30805948/BP39</f>
        <v>0.5951941423333654</v>
      </c>
      <c r="BQ21" s="8">
        <f>26.40871531/BQ39</f>
        <v>0.5160411467574391</v>
      </c>
      <c r="BR21" s="8">
        <f>25.16901615/BR39</f>
        <v>0.48720794255483485</v>
      </c>
      <c r="BS21" s="8">
        <f>27.55109662/BS39</f>
        <v>0.5223095327648506</v>
      </c>
      <c r="BT21" s="8">
        <f>25.29/BT39</f>
        <v>0.47835124864996753</v>
      </c>
      <c r="BU21" s="8">
        <f>24.34309031/BU39</f>
        <v>0.4600831278279046</v>
      </c>
      <c r="BV21" s="8">
        <f>26.4369856/BV39</f>
        <v>0.497791047024399</v>
      </c>
      <c r="BW21" s="8">
        <f>25.61354096/BW39</f>
        <v>0.4799221468160135</v>
      </c>
      <c r="BX21" s="8">
        <f>21.43802482/BX39</f>
        <v>0.3989293569462717</v>
      </c>
      <c r="BY21" s="8">
        <f>5.45968611/BY39</f>
        <v>0.10072868497229802</v>
      </c>
      <c r="BZ21" s="8">
        <f>7.42342371/BZ39</f>
        <v>0.13401762204963225</v>
      </c>
      <c r="CA21" s="8">
        <f>17.45259807/CA39</f>
        <v>0.3012429049301549</v>
      </c>
      <c r="CB21" s="8">
        <f>18.66511461/CB39</f>
        <v>0.3199083148228132</v>
      </c>
      <c r="CC21" s="8">
        <f>21.54331743/CC39</f>
        <v>0.36837077340820445</v>
      </c>
      <c r="CD21" s="8">
        <f>26.86299358/CD39</f>
        <v>0.45942107731301113</v>
      </c>
      <c r="CE21" s="8">
        <f>33.7052258199999/CE39</f>
        <v>0.5762975939458792</v>
      </c>
      <c r="CF21" s="8">
        <f>30.48491647/CF39</f>
        <v>0.5215768734729912</v>
      </c>
      <c r="CG21" s="8">
        <f>36.15443337/CG39</f>
        <v>0.6199808861810088</v>
      </c>
      <c r="CH21" s="8">
        <f>33.02205519/CH39</f>
        <v>0.5663528970183428</v>
      </c>
      <c r="CI21" s="8">
        <f>32.5248211299999/CI39</f>
        <v>0.5598384270734343</v>
      </c>
      <c r="CJ21" s="8">
        <f>37.97992638/CJ39</f>
        <v>0.6610746117615114</v>
      </c>
      <c r="CK21" s="8">
        <f>36.07463226/CK39</f>
        <v>0.6318186274114876</v>
      </c>
      <c r="CL21" s="8">
        <f>31.2361272/CL39</f>
        <v>0.5476157438760013</v>
      </c>
      <c r="CM21" s="8">
        <f>31.70789428/CM39</f>
        <v>0.5550538334692906</v>
      </c>
      <c r="CN21" s="20">
        <f>31.9331324/CN39</f>
        <v>0.5583144927232165</v>
      </c>
      <c r="CO21" s="20">
        <f>32.83416272/CO39</f>
        <v>0.5741706168135394</v>
      </c>
      <c r="CP21" s="20">
        <f>31.76582911/CP39</f>
        <v>0.5596615357916805</v>
      </c>
      <c r="CQ21" s="8">
        <f>33.98791806/CQ39</f>
        <v>0.6014059864706329</v>
      </c>
      <c r="CR21" s="8">
        <f>33.11049867/CR39</f>
        <v>0.5837370361555386</v>
      </c>
      <c r="CS21" s="8">
        <f>33.92199457/CS39</f>
        <v>0.5934558296783946</v>
      </c>
      <c r="CT21" s="8">
        <f>31.67355958/CT39</f>
        <v>0.5476765626999305</v>
      </c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1:112" ht="15" customHeight="1">
      <c r="A22" s="9" t="s">
        <v>13</v>
      </c>
      <c r="B22" s="8">
        <f aca="true" t="shared" si="20" ref="B22:AG22">+B2-B11</f>
        <v>101.24440803000044</v>
      </c>
      <c r="C22" s="8">
        <f t="shared" si="20"/>
        <v>118.60746432999943</v>
      </c>
      <c r="D22" s="8">
        <f t="shared" si="20"/>
        <v>114.97891895094023</v>
      </c>
      <c r="E22" s="8">
        <f t="shared" si="20"/>
        <v>99.57792635529074</v>
      </c>
      <c r="F22" s="8">
        <f t="shared" si="20"/>
        <v>121.09826725136236</v>
      </c>
      <c r="G22" s="8">
        <f t="shared" si="20"/>
        <v>107.06589938938748</v>
      </c>
      <c r="H22" s="8">
        <f t="shared" si="20"/>
        <v>113.56967360623639</v>
      </c>
      <c r="I22" s="8">
        <f t="shared" si="20"/>
        <v>105.29816950096802</v>
      </c>
      <c r="J22" s="8">
        <f t="shared" si="20"/>
        <v>101.72776664069482</v>
      </c>
      <c r="K22" s="8">
        <f t="shared" si="20"/>
        <v>127.61140008369478</v>
      </c>
      <c r="L22" s="8">
        <f t="shared" si="20"/>
        <v>84.84821463879041</v>
      </c>
      <c r="M22" s="8">
        <f t="shared" si="20"/>
        <v>100.99432390170591</v>
      </c>
      <c r="N22" s="8">
        <f t="shared" si="20"/>
        <v>105.91633227133823</v>
      </c>
      <c r="O22" s="8">
        <f t="shared" si="20"/>
        <v>80.18619144085937</v>
      </c>
      <c r="P22" s="8">
        <f t="shared" si="20"/>
        <v>120.21822022907054</v>
      </c>
      <c r="Q22" s="8">
        <f t="shared" si="20"/>
        <v>106.32172391073419</v>
      </c>
      <c r="R22" s="8">
        <f t="shared" si="20"/>
        <v>114.8066324617659</v>
      </c>
      <c r="S22" s="8">
        <f t="shared" si="20"/>
        <v>120.64983165780382</v>
      </c>
      <c r="T22" s="8">
        <f t="shared" si="20"/>
        <v>125.82825041639268</v>
      </c>
      <c r="U22" s="8">
        <f t="shared" si="20"/>
        <v>118.67095925455772</v>
      </c>
      <c r="V22" s="8">
        <f t="shared" si="20"/>
        <v>110.18651943926733</v>
      </c>
      <c r="W22" s="8">
        <f t="shared" si="20"/>
        <v>123.15980486353283</v>
      </c>
      <c r="X22" s="8">
        <f t="shared" si="20"/>
        <v>80.24462146834134</v>
      </c>
      <c r="Y22" s="8">
        <f t="shared" si="20"/>
        <v>111.13472822370915</v>
      </c>
      <c r="Z22" s="8">
        <f t="shared" si="20"/>
        <v>109.41868553791659</v>
      </c>
      <c r="AA22" s="8">
        <f t="shared" si="20"/>
        <v>94.45426461053057</v>
      </c>
      <c r="AB22" s="8">
        <f t="shared" si="20"/>
        <v>121.55617358947586</v>
      </c>
      <c r="AC22" s="8">
        <f t="shared" si="20"/>
        <v>111.04855878700005</v>
      </c>
      <c r="AD22" s="8">
        <f t="shared" si="20"/>
        <v>148.01973098151598</v>
      </c>
      <c r="AE22" s="8">
        <f t="shared" si="20"/>
        <v>125.19228330944304</v>
      </c>
      <c r="AF22" s="8">
        <f t="shared" si="20"/>
        <v>133.56208128809544</v>
      </c>
      <c r="AG22" s="8">
        <f t="shared" si="20"/>
        <v>126.98721433943808</v>
      </c>
      <c r="AH22" s="8">
        <f aca="true" t="shared" si="21" ref="AH22:BM22">+AH2-AH11</f>
        <v>123.45624292078935</v>
      </c>
      <c r="AI22" s="8">
        <f t="shared" si="21"/>
        <v>118.93393110979957</v>
      </c>
      <c r="AJ22" s="8">
        <f t="shared" si="21"/>
        <v>93.57095831715537</v>
      </c>
      <c r="AK22" s="8">
        <f t="shared" si="21"/>
        <v>118.36486492678665</v>
      </c>
      <c r="AL22" s="8">
        <f t="shared" si="21"/>
        <v>91.59328388493032</v>
      </c>
      <c r="AM22" s="8">
        <f t="shared" si="21"/>
        <v>85.38874561056531</v>
      </c>
      <c r="AN22" s="8">
        <f t="shared" si="21"/>
        <v>117.43035117748718</v>
      </c>
      <c r="AO22" s="8">
        <f t="shared" si="21"/>
        <v>91.43252177775702</v>
      </c>
      <c r="AP22" s="8">
        <f t="shared" si="21"/>
        <v>139.21248631835505</v>
      </c>
      <c r="AQ22" s="8">
        <f t="shared" si="21"/>
        <v>118.44776898215639</v>
      </c>
      <c r="AR22" s="8">
        <f t="shared" si="21"/>
        <v>133.63872016418196</v>
      </c>
      <c r="AS22" s="8">
        <f t="shared" si="21"/>
        <v>139.38252746478423</v>
      </c>
      <c r="AT22" s="8">
        <f t="shared" si="21"/>
        <v>108.39337849362028</v>
      </c>
      <c r="AU22" s="8">
        <f t="shared" si="21"/>
        <v>122.6177806907508</v>
      </c>
      <c r="AV22" s="8">
        <f t="shared" si="21"/>
        <v>85.19395441482362</v>
      </c>
      <c r="AW22" s="8">
        <f t="shared" si="21"/>
        <v>95.08754640882444</v>
      </c>
      <c r="AX22" s="8">
        <f t="shared" si="21"/>
        <v>101.64486457204606</v>
      </c>
      <c r="AY22" s="8">
        <f t="shared" si="21"/>
        <v>62.28092859259618</v>
      </c>
      <c r="AZ22" s="8">
        <f t="shared" si="21"/>
        <v>138.83775721533317</v>
      </c>
      <c r="BA22" s="8">
        <f t="shared" si="21"/>
        <v>105.011504395786</v>
      </c>
      <c r="BB22" s="8">
        <f t="shared" si="21"/>
        <v>111.98866680682733</v>
      </c>
      <c r="BC22" s="8">
        <f t="shared" si="21"/>
        <v>107.42149493896221</v>
      </c>
      <c r="BD22" s="8">
        <f t="shared" si="21"/>
        <v>115.32477599999999</v>
      </c>
      <c r="BE22" s="8">
        <f t="shared" si="21"/>
        <v>108.44346699999977</v>
      </c>
      <c r="BF22" s="8">
        <f t="shared" si="21"/>
        <v>82.16009699999995</v>
      </c>
      <c r="BG22" s="8">
        <f t="shared" si="21"/>
        <v>107.25651399999998</v>
      </c>
      <c r="BH22" s="8">
        <f t="shared" si="21"/>
        <v>81.58235200000001</v>
      </c>
      <c r="BI22" s="8">
        <f t="shared" si="21"/>
        <v>86.43834000000004</v>
      </c>
      <c r="BJ22" s="8">
        <f t="shared" si="21"/>
        <v>86.69734900000003</v>
      </c>
      <c r="BK22" s="8">
        <f t="shared" si="21"/>
        <v>69.78547099999997</v>
      </c>
      <c r="BL22" s="8">
        <f t="shared" si="21"/>
        <v>109.38163800000001</v>
      </c>
      <c r="BM22" s="8">
        <f t="shared" si="21"/>
        <v>81.89054199999998</v>
      </c>
      <c r="BN22" s="8">
        <f aca="true" t="shared" si="22" ref="BN22:CE22">+BN2-BN11</f>
        <v>120.67279299999996</v>
      </c>
      <c r="BO22" s="8">
        <f t="shared" si="22"/>
        <v>104.19691599999999</v>
      </c>
      <c r="BP22" s="8">
        <f t="shared" si="22"/>
        <v>117.89545900000007</v>
      </c>
      <c r="BQ22" s="8">
        <f t="shared" si="22"/>
        <v>110.78586100000001</v>
      </c>
      <c r="BR22" s="8">
        <f t="shared" si="22"/>
        <v>92.71324200000004</v>
      </c>
      <c r="BS22" s="8">
        <f t="shared" si="22"/>
        <v>113.797347</v>
      </c>
      <c r="BT22" s="8">
        <f t="shared" si="22"/>
        <v>78.52998400000001</v>
      </c>
      <c r="BU22" s="8">
        <f t="shared" si="22"/>
        <v>85.15399200000002</v>
      </c>
      <c r="BV22" s="8">
        <f t="shared" si="22"/>
        <v>88.59331500000008</v>
      </c>
      <c r="BW22" s="8">
        <f t="shared" si="22"/>
        <v>88.95441999999997</v>
      </c>
      <c r="BX22" s="8">
        <f t="shared" si="22"/>
        <v>89.233089</v>
      </c>
      <c r="BY22" s="8">
        <f t="shared" si="22"/>
        <v>111.06711799999994</v>
      </c>
      <c r="BZ22" s="8">
        <f t="shared" si="22"/>
        <v>152.63608300000004</v>
      </c>
      <c r="CA22" s="8">
        <f t="shared" si="22"/>
        <v>149.847663</v>
      </c>
      <c r="CB22" s="8">
        <f t="shared" si="22"/>
        <v>126.69128800000004</v>
      </c>
      <c r="CC22" s="8">
        <f t="shared" si="22"/>
        <v>125.02871099999999</v>
      </c>
      <c r="CD22" s="8">
        <f t="shared" si="22"/>
        <v>125.80441399999995</v>
      </c>
      <c r="CE22" s="8">
        <f t="shared" si="22"/>
        <v>136.4149660000001</v>
      </c>
      <c r="CF22" s="8">
        <v>82.67902645499998</v>
      </c>
      <c r="CG22" s="8">
        <v>120.49977923399996</v>
      </c>
      <c r="CH22" s="8">
        <f aca="true" t="shared" si="23" ref="CH22:CT22">+CH2-CH11</f>
        <v>106.111312</v>
      </c>
      <c r="CI22" s="8">
        <f t="shared" si="23"/>
        <v>92.68050000000005</v>
      </c>
      <c r="CJ22" s="8">
        <f t="shared" si="23"/>
        <v>130.22771999999998</v>
      </c>
      <c r="CK22" s="8">
        <f t="shared" si="23"/>
        <v>119.07144999999997</v>
      </c>
      <c r="CL22" s="8">
        <f t="shared" si="23"/>
        <v>159.75222599999995</v>
      </c>
      <c r="CM22" s="8">
        <f t="shared" si="23"/>
        <v>118.14585900000003</v>
      </c>
      <c r="CN22" s="8">
        <f t="shared" si="23"/>
        <v>155.24981599999995</v>
      </c>
      <c r="CO22" s="8">
        <f t="shared" si="23"/>
        <v>140.01877199999996</v>
      </c>
      <c r="CP22" s="8">
        <f t="shared" si="23"/>
        <v>151.172527</v>
      </c>
      <c r="CQ22" s="8">
        <f t="shared" si="23"/>
        <v>126.10148100000004</v>
      </c>
      <c r="CR22" s="8">
        <f t="shared" si="23"/>
        <v>118.98584000000005</v>
      </c>
      <c r="CS22" s="8">
        <f t="shared" si="23"/>
        <v>107.05230699999998</v>
      </c>
      <c r="CT22" s="8">
        <f t="shared" si="23"/>
        <v>109.57510200000002</v>
      </c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s="23" customFormat="1" ht="15" customHeight="1">
      <c r="A23" s="22" t="s">
        <v>14</v>
      </c>
      <c r="B23" s="17">
        <f aca="true" t="shared" si="24" ref="B23:AG23">+B22/B2</f>
        <v>0.284863760008754</v>
      </c>
      <c r="C23" s="17">
        <f t="shared" si="24"/>
        <v>0.36366941413572895</v>
      </c>
      <c r="D23" s="17">
        <f t="shared" si="24"/>
        <v>0.3079902295570967</v>
      </c>
      <c r="E23" s="17">
        <f t="shared" si="24"/>
        <v>0.2690058284649652</v>
      </c>
      <c r="F23" s="17">
        <f t="shared" si="24"/>
        <v>0.3133227386108525</v>
      </c>
      <c r="G23" s="17">
        <f t="shared" si="24"/>
        <v>0.2735963862603522</v>
      </c>
      <c r="H23" s="17">
        <f t="shared" si="24"/>
        <v>0.2822247089413364</v>
      </c>
      <c r="I23" s="17">
        <f t="shared" si="24"/>
        <v>0.26891822788563735</v>
      </c>
      <c r="J23" s="17">
        <f t="shared" si="24"/>
        <v>0.2695861927984459</v>
      </c>
      <c r="K23" s="17">
        <f t="shared" si="24"/>
        <v>0.3144847497883647</v>
      </c>
      <c r="L23" s="17">
        <f t="shared" si="24"/>
        <v>0.2306348697515048</v>
      </c>
      <c r="M23" s="17">
        <f t="shared" si="24"/>
        <v>0.27543784957779976</v>
      </c>
      <c r="N23" s="17">
        <f t="shared" si="24"/>
        <v>0.2959499340852517</v>
      </c>
      <c r="O23" s="17">
        <f t="shared" si="24"/>
        <v>0.2420800144545332</v>
      </c>
      <c r="P23" s="17">
        <f t="shared" si="24"/>
        <v>0.3198450749784637</v>
      </c>
      <c r="Q23" s="17">
        <f t="shared" si="24"/>
        <v>0.28626310144361095</v>
      </c>
      <c r="R23" s="17">
        <f t="shared" si="24"/>
        <v>0.29218484050558613</v>
      </c>
      <c r="S23" s="17">
        <f t="shared" si="24"/>
        <v>0.29881581458157236</v>
      </c>
      <c r="T23" s="17">
        <f t="shared" si="24"/>
        <v>0.29707804228209944</v>
      </c>
      <c r="U23" s="17">
        <f t="shared" si="24"/>
        <v>0.281100998507117</v>
      </c>
      <c r="V23" s="17">
        <f t="shared" si="24"/>
        <v>0.2661691342163405</v>
      </c>
      <c r="W23" s="17">
        <f t="shared" si="24"/>
        <v>0.28639149854422935</v>
      </c>
      <c r="X23" s="17">
        <f t="shared" si="24"/>
        <v>0.21169553189784357</v>
      </c>
      <c r="Y23" s="17">
        <f t="shared" si="24"/>
        <v>0.28545969909448116</v>
      </c>
      <c r="Z23" s="17">
        <f t="shared" si="24"/>
        <v>0.29013293209546265</v>
      </c>
      <c r="AA23" s="17">
        <f t="shared" si="24"/>
        <v>0.2578643413473757</v>
      </c>
      <c r="AB23" s="17">
        <f t="shared" si="24"/>
        <v>0.30658904485768956</v>
      </c>
      <c r="AC23" s="17">
        <f t="shared" si="24"/>
        <v>0.27795809053015286</v>
      </c>
      <c r="AD23" s="17">
        <f t="shared" si="24"/>
        <v>0.3371121459584899</v>
      </c>
      <c r="AE23" s="17">
        <f t="shared" si="24"/>
        <v>0.29055107856663315</v>
      </c>
      <c r="AF23" s="17">
        <f t="shared" si="24"/>
        <v>0.3014821172611091</v>
      </c>
      <c r="AG23" s="17">
        <f t="shared" si="24"/>
        <v>0.2883827748538384</v>
      </c>
      <c r="AH23" s="17">
        <f aca="true" t="shared" si="25" ref="AH23:BM23">+AH22/AH2</f>
        <v>0.28035058538124386</v>
      </c>
      <c r="AI23" s="17">
        <f t="shared" si="25"/>
        <v>0.2742004323409591</v>
      </c>
      <c r="AJ23" s="17">
        <f t="shared" si="25"/>
        <v>0.2331972009534546</v>
      </c>
      <c r="AK23" s="17">
        <f t="shared" si="25"/>
        <v>0.2908380219202062</v>
      </c>
      <c r="AL23" s="17">
        <f t="shared" si="25"/>
        <v>0.24564740134856605</v>
      </c>
      <c r="AM23" s="17">
        <f t="shared" si="25"/>
        <v>0.24115646825669018</v>
      </c>
      <c r="AN23" s="17">
        <f t="shared" si="25"/>
        <v>0.29462380681746925</v>
      </c>
      <c r="AO23" s="17">
        <f t="shared" si="25"/>
        <v>0.23745161723809582</v>
      </c>
      <c r="AP23" s="17">
        <f t="shared" si="25"/>
        <v>0.3265580466591711</v>
      </c>
      <c r="AQ23" s="17">
        <f t="shared" si="25"/>
        <v>0.2730566445850979</v>
      </c>
      <c r="AR23" s="17">
        <f t="shared" si="25"/>
        <v>0.2940848208952342</v>
      </c>
      <c r="AS23" s="17">
        <f t="shared" si="25"/>
        <v>0.29541459837715833</v>
      </c>
      <c r="AT23" s="17">
        <f t="shared" si="25"/>
        <v>0.24578019369945386</v>
      </c>
      <c r="AU23" s="17">
        <f t="shared" si="25"/>
        <v>0.27277248024743017</v>
      </c>
      <c r="AV23" s="17">
        <f t="shared" si="25"/>
        <v>0.20805612363592932</v>
      </c>
      <c r="AW23" s="17">
        <f t="shared" si="25"/>
        <v>0.23215796798538502</v>
      </c>
      <c r="AX23" s="17">
        <f t="shared" si="25"/>
        <v>0.25982127698437824</v>
      </c>
      <c r="AY23" s="17">
        <f t="shared" si="25"/>
        <v>0.1814740652384333</v>
      </c>
      <c r="AZ23" s="17">
        <f t="shared" si="25"/>
        <v>0.34365639414642163</v>
      </c>
      <c r="BA23" s="17">
        <f t="shared" si="25"/>
        <v>0.2529019140773491</v>
      </c>
      <c r="BB23" s="17">
        <f t="shared" si="25"/>
        <v>0.2598678546297526</v>
      </c>
      <c r="BC23" s="17">
        <f t="shared" si="25"/>
        <v>0.24369301491605921</v>
      </c>
      <c r="BD23" s="17">
        <f t="shared" si="25"/>
        <v>0.2502668252092994</v>
      </c>
      <c r="BE23" s="17">
        <f t="shared" si="25"/>
        <v>0.23602326202588392</v>
      </c>
      <c r="BF23" s="17">
        <f t="shared" si="25"/>
        <v>0.19294214566141626</v>
      </c>
      <c r="BG23" s="17">
        <f t="shared" si="25"/>
        <v>0.2435605502396499</v>
      </c>
      <c r="BH23" s="17">
        <f t="shared" si="25"/>
        <v>0.19275279960349168</v>
      </c>
      <c r="BI23" s="17">
        <f t="shared" si="25"/>
        <v>0.20557295437313175</v>
      </c>
      <c r="BJ23" s="17">
        <f t="shared" si="25"/>
        <v>0.21370279102456533</v>
      </c>
      <c r="BK23" s="17">
        <f t="shared" si="25"/>
        <v>0.1821005954266998</v>
      </c>
      <c r="BL23" s="17">
        <f t="shared" si="25"/>
        <v>0.254296824883862</v>
      </c>
      <c r="BM23" s="17">
        <f t="shared" si="25"/>
        <v>0.19480517577440845</v>
      </c>
      <c r="BN23" s="17">
        <f aca="true" t="shared" si="26" ref="BN23:CS23">+BN22/BN2</f>
        <v>0.2619246870152744</v>
      </c>
      <c r="BO23" s="17">
        <f t="shared" si="26"/>
        <v>0.22252042977928194</v>
      </c>
      <c r="BP23" s="17">
        <f t="shared" si="26"/>
        <v>0.23611545775221873</v>
      </c>
      <c r="BQ23" s="17">
        <f t="shared" si="26"/>
        <v>0.21949728868321572</v>
      </c>
      <c r="BR23" s="17">
        <f t="shared" si="26"/>
        <v>0.19214965755863136</v>
      </c>
      <c r="BS23" s="17">
        <f t="shared" si="26"/>
        <v>0.22911294391511744</v>
      </c>
      <c r="BT23" s="17">
        <f t="shared" si="26"/>
        <v>0.17110599067426624</v>
      </c>
      <c r="BU23" s="17">
        <f t="shared" si="26"/>
        <v>0.1889688708896088</v>
      </c>
      <c r="BV23" s="17">
        <f t="shared" si="26"/>
        <v>0.20535707631884703</v>
      </c>
      <c r="BW23" s="17">
        <f t="shared" si="26"/>
        <v>0.21121166304945185</v>
      </c>
      <c r="BX23" s="17">
        <f t="shared" si="26"/>
        <v>0.20910057627862635</v>
      </c>
      <c r="BY23" s="17">
        <f t="shared" si="26"/>
        <v>0.26388524355319054</v>
      </c>
      <c r="BZ23" s="17">
        <f t="shared" si="26"/>
        <v>0.32809577311519406</v>
      </c>
      <c r="CA23" s="17">
        <f t="shared" si="26"/>
        <v>0.3021784788587356</v>
      </c>
      <c r="CB23" s="17">
        <f t="shared" si="26"/>
        <v>0.2448540787635401</v>
      </c>
      <c r="CC23" s="17">
        <f t="shared" si="26"/>
        <v>0.2508832146380762</v>
      </c>
      <c r="CD23" s="17">
        <f t="shared" si="26"/>
        <v>0.2578579726469596</v>
      </c>
      <c r="CE23" s="17">
        <f t="shared" si="26"/>
        <v>0.273744490443011</v>
      </c>
      <c r="CF23" s="17">
        <f t="shared" si="26"/>
        <v>0.18833594954743962</v>
      </c>
      <c r="CG23" s="17">
        <f t="shared" si="26"/>
        <v>0.26619734207409473</v>
      </c>
      <c r="CH23" s="17">
        <f t="shared" si="26"/>
        <v>0.2484345980910307</v>
      </c>
      <c r="CI23" s="17">
        <f t="shared" si="26"/>
        <v>0.22526169833493334</v>
      </c>
      <c r="CJ23" s="17">
        <f t="shared" si="26"/>
        <v>0.28576554516571256</v>
      </c>
      <c r="CK23" s="17">
        <f t="shared" si="26"/>
        <v>0.2633772415473297</v>
      </c>
      <c r="CL23" s="17">
        <f t="shared" si="26"/>
        <v>0.3175641698542491</v>
      </c>
      <c r="CM23" s="17">
        <f t="shared" si="26"/>
        <v>0.24292928555819518</v>
      </c>
      <c r="CN23" s="17">
        <f t="shared" si="26"/>
        <v>0.2976378561354281</v>
      </c>
      <c r="CO23" s="17">
        <f t="shared" si="26"/>
        <v>0.2684244032389796</v>
      </c>
      <c r="CP23" s="17">
        <f t="shared" si="26"/>
        <v>0.2809692307350897</v>
      </c>
      <c r="CQ23" s="17">
        <f t="shared" si="26"/>
        <v>0.24124265813328394</v>
      </c>
      <c r="CR23" s="17">
        <f t="shared" si="26"/>
        <v>0.23603641881832713</v>
      </c>
      <c r="CS23" s="17">
        <f t="shared" si="26"/>
        <v>0.22380194699191283</v>
      </c>
      <c r="CT23" s="17">
        <f>+CT22/CT2</f>
        <v>0.24214370480840558</v>
      </c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</row>
    <row r="24" spans="1:112" s="23" customFormat="1" ht="15" customHeight="1">
      <c r="A24" s="22" t="s">
        <v>31</v>
      </c>
      <c r="B24" s="17">
        <v>0.28566431861687847</v>
      </c>
      <c r="C24" s="17">
        <v>0.2922193627103242</v>
      </c>
      <c r="D24" s="17">
        <v>0.29182929653307094</v>
      </c>
      <c r="E24" s="17">
        <v>0.2896115742812482</v>
      </c>
      <c r="F24" s="17">
        <v>0.2904844286636265</v>
      </c>
      <c r="G24" s="17">
        <v>0.2896623024505683</v>
      </c>
      <c r="H24" s="17">
        <v>0.2888431523369793</v>
      </c>
      <c r="I24" s="17">
        <v>0.2877594885070005</v>
      </c>
      <c r="J24" s="17">
        <v>0.2860050282734433</v>
      </c>
      <c r="K24" s="17">
        <v>0.2890703156141107</v>
      </c>
      <c r="L24" s="17">
        <v>0.2871940311638899</v>
      </c>
      <c r="M24" s="17">
        <v>0.2872112502610508</v>
      </c>
      <c r="N24" s="17">
        <v>0.2880883332736194</v>
      </c>
      <c r="O24" s="17">
        <v>0.27926724499393624</v>
      </c>
      <c r="P24" s="17">
        <v>0.2802681815242714</v>
      </c>
      <c r="Q24" s="17">
        <v>0.2816812930975718</v>
      </c>
      <c r="R24" s="17">
        <v>0.27989363541059936</v>
      </c>
      <c r="S24" s="17">
        <v>0.2821169315161019</v>
      </c>
      <c r="T24" s="17">
        <v>0.28349529513907146</v>
      </c>
      <c r="U24" s="17">
        <v>0.28451717053455056</v>
      </c>
      <c r="V24" s="17">
        <v>0.2840938270844644</v>
      </c>
      <c r="W24" s="17">
        <v>0.28165813715636523</v>
      </c>
      <c r="X24" s="17">
        <v>0.2799983336861226</v>
      </c>
      <c r="Y24" s="17">
        <v>0.2808080205898561</v>
      </c>
      <c r="Z24" s="17">
        <v>0.2804041626824212</v>
      </c>
      <c r="AA24" s="17">
        <v>0.2813394118203395</v>
      </c>
      <c r="AB24" s="17">
        <v>0.2804032318436491</v>
      </c>
      <c r="AC24" s="17">
        <v>0.27974550087379557</v>
      </c>
      <c r="AD24" s="17">
        <v>0.2839395854125198</v>
      </c>
      <c r="AE24" s="17">
        <v>0.28329085798215986</v>
      </c>
      <c r="AF24" s="17">
        <v>0.2837450180742222</v>
      </c>
      <c r="AG24" s="17">
        <v>0.2843889181877863</v>
      </c>
      <c r="AH24" s="17">
        <v>0.28555775437394454</v>
      </c>
      <c r="AI24" s="17">
        <v>0.28448693082369264</v>
      </c>
      <c r="AJ24" s="17">
        <v>0.28590136232123065</v>
      </c>
      <c r="AK24" s="17">
        <v>0.28633975928516264</v>
      </c>
      <c r="AL24" s="17">
        <v>0.2829996087717615</v>
      </c>
      <c r="AM24" s="17">
        <v>0.28186845927007115</v>
      </c>
      <c r="AN24" s="17">
        <v>0.2809175442740249</v>
      </c>
      <c r="AO24" s="17">
        <v>0.2777728282912666</v>
      </c>
      <c r="AP24" s="17">
        <v>0.2767071383179595</v>
      </c>
      <c r="AQ24" s="17">
        <v>0.2751779607395701</v>
      </c>
      <c r="AR24" s="17">
        <v>0.2745591934295114</v>
      </c>
      <c r="AS24" s="17">
        <v>0.2753128982490044</v>
      </c>
      <c r="AT24" s="17">
        <v>0.27225202612595995</v>
      </c>
      <c r="AU24" s="17">
        <v>0.2721296882810932</v>
      </c>
      <c r="AV24" s="17">
        <v>0.2700083814478111</v>
      </c>
      <c r="AW24" s="17">
        <v>0.26521860817666776</v>
      </c>
      <c r="AX24" s="17">
        <v>0.2662506623996814</v>
      </c>
      <c r="AY24" s="17">
        <v>0.26288181374262454</v>
      </c>
      <c r="AZ24" s="17">
        <v>0.26678028737683246</v>
      </c>
      <c r="BA24" s="17">
        <v>0.2678845590404746</v>
      </c>
      <c r="BB24" s="17">
        <v>0.2622362572836476</v>
      </c>
      <c r="BC24" s="17">
        <v>0.2597343468275294</v>
      </c>
      <c r="BD24" s="17">
        <v>0.2557348262317172</v>
      </c>
      <c r="BE24" s="17">
        <v>0.25019376461254517</v>
      </c>
      <c r="BF24" s="17">
        <v>0.245695390167763</v>
      </c>
      <c r="BG24" s="17">
        <v>0.24303560268690688</v>
      </c>
      <c r="BH24" s="17">
        <v>0.24159109969666182</v>
      </c>
      <c r="BI24" s="17">
        <v>0.23929148591713498</v>
      </c>
      <c r="BJ24" s="17">
        <v>0.23562953635393322</v>
      </c>
      <c r="BK24" s="17">
        <v>0.23520942197096578</v>
      </c>
      <c r="BL24" s="17">
        <v>0.22815951425070236</v>
      </c>
      <c r="BM24" s="17">
        <v>0.22338765523061044</v>
      </c>
      <c r="BN24" s="17">
        <v>0.22376649516423555</v>
      </c>
      <c r="BO24" s="17">
        <v>0.22192977975850903</v>
      </c>
      <c r="BP24" s="17">
        <v>0.22076315110483044</v>
      </c>
      <c r="BQ24" s="17">
        <v>0.21932711033746652</v>
      </c>
      <c r="BR24" s="17">
        <v>0.2189801687434508</v>
      </c>
      <c r="BS24" s="17">
        <v>0.21793452337654956</v>
      </c>
      <c r="BT24" s="17">
        <v>0.2159528715271344</v>
      </c>
      <c r="BU24" s="17">
        <v>0.21452634149933492</v>
      </c>
      <c r="BV24" s="17">
        <v>0.21385241140086766</v>
      </c>
      <c r="BW24" s="17">
        <v>0.21585435472438264</v>
      </c>
      <c r="BX24" s="17">
        <v>0.2123376210427054</v>
      </c>
      <c r="BY24" s="17">
        <v>0.21760131736951865</v>
      </c>
      <c r="BZ24" s="17">
        <v>0.22320767937216052</v>
      </c>
      <c r="CA24" s="17">
        <v>0.23031639425445213</v>
      </c>
      <c r="CB24" s="17">
        <v>0.23114666739019693</v>
      </c>
      <c r="CC24" s="17">
        <v>0.23397022392736466</v>
      </c>
      <c r="CD24" s="17">
        <v>0.2396840438897586</v>
      </c>
      <c r="CE24" s="17">
        <v>0.24367189904897119</v>
      </c>
      <c r="CF24" s="17">
        <v>0.24530290611804173</v>
      </c>
      <c r="CG24" s="17">
        <v>0.25166065183267766</v>
      </c>
      <c r="CH24" s="17">
        <v>0.25519109608459933</v>
      </c>
      <c r="CI24" s="17">
        <v>0.2563115693835794</v>
      </c>
      <c r="CJ24" s="17">
        <v>0.2623385463791942</v>
      </c>
      <c r="CK24" s="17">
        <v>0.26230615939834173</v>
      </c>
      <c r="CL24" s="17">
        <v>0.26180807085090013</v>
      </c>
      <c r="CM24" s="17">
        <v>0.25662088046125464</v>
      </c>
      <c r="CN24" s="17">
        <v>0.26149929701635666</v>
      </c>
      <c r="CO24" s="17">
        <v>0.2630731207140886</v>
      </c>
      <c r="CP24" s="17">
        <v>0.26520613646807534</v>
      </c>
      <c r="CQ24" s="17">
        <v>0.2622782382787471</v>
      </c>
      <c r="CR24" s="17">
        <v>0.2655646469011271</v>
      </c>
      <c r="CS24" s="17">
        <v>0.26185519435524024</v>
      </c>
      <c r="CT24" s="17">
        <v>0.26131007025390635</v>
      </c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</row>
    <row r="25" spans="1:112" s="23" customFormat="1" ht="15" customHeight="1">
      <c r="A25" s="22" t="s">
        <v>15</v>
      </c>
      <c r="B25" s="17">
        <f aca="true" t="shared" si="27" ref="B25:AG25">+B18/B15</f>
        <v>1.0030529272596362</v>
      </c>
      <c r="C25" s="17">
        <f t="shared" si="27"/>
        <v>1.0964519210399641</v>
      </c>
      <c r="D25" s="17">
        <f t="shared" si="27"/>
        <v>0.9965940249368702</v>
      </c>
      <c r="E25" s="17">
        <f t="shared" si="27"/>
        <v>0.8934016059534662</v>
      </c>
      <c r="F25" s="17">
        <f t="shared" si="27"/>
        <v>1.0511718137295314</v>
      </c>
      <c r="G25" s="17">
        <f t="shared" si="27"/>
        <v>0.8563163192198535</v>
      </c>
      <c r="H25" s="17">
        <f t="shared" si="27"/>
        <v>1.00866917004323</v>
      </c>
      <c r="I25" s="17">
        <f t="shared" si="27"/>
        <v>0.9304669055035166</v>
      </c>
      <c r="J25" s="17">
        <f t="shared" si="27"/>
        <v>1.0015180290477204</v>
      </c>
      <c r="K25" s="17">
        <f t="shared" si="27"/>
        <v>0.9629783538209933</v>
      </c>
      <c r="L25" s="17">
        <f t="shared" si="27"/>
        <v>0.794699273436809</v>
      </c>
      <c r="M25" s="17">
        <f t="shared" si="27"/>
        <v>1.0407655316313675</v>
      </c>
      <c r="N25" s="17">
        <f t="shared" si="27"/>
        <v>0.9528878471678899</v>
      </c>
      <c r="O25" s="17">
        <f t="shared" si="27"/>
        <v>1.0366326975841016</v>
      </c>
      <c r="P25" s="17">
        <f t="shared" si="27"/>
        <v>1.0432439557526487</v>
      </c>
      <c r="Q25" s="17">
        <f t="shared" si="27"/>
        <v>0.8960587181227364</v>
      </c>
      <c r="R25" s="17">
        <f t="shared" si="27"/>
        <v>0.9218693478631043</v>
      </c>
      <c r="S25" s="17">
        <f t="shared" si="27"/>
        <v>0.9509156047205632</v>
      </c>
      <c r="T25" s="17">
        <f t="shared" si="27"/>
        <v>0.9901447933755405</v>
      </c>
      <c r="U25" s="17">
        <f t="shared" si="27"/>
        <v>0.9247699957090088</v>
      </c>
      <c r="V25" s="17">
        <f t="shared" si="27"/>
        <v>0.9259629137611074</v>
      </c>
      <c r="W25" s="17">
        <f t="shared" si="27"/>
        <v>0.9198594542892542</v>
      </c>
      <c r="X25" s="17">
        <f t="shared" si="27"/>
        <v>0.9607785090538972</v>
      </c>
      <c r="Y25" s="17">
        <f t="shared" si="27"/>
        <v>1.0277979515316515</v>
      </c>
      <c r="Z25" s="17">
        <f t="shared" si="27"/>
        <v>0.8815030048760915</v>
      </c>
      <c r="AA25" s="17">
        <f t="shared" si="27"/>
        <v>0.9674319171885152</v>
      </c>
      <c r="AB25" s="17">
        <f t="shared" si="27"/>
        <v>1.0003293197488878</v>
      </c>
      <c r="AC25" s="17">
        <f t="shared" si="27"/>
        <v>0.9246750451731562</v>
      </c>
      <c r="AD25" s="17">
        <f t="shared" si="27"/>
        <v>0.9477062741389094</v>
      </c>
      <c r="AE25" s="17">
        <f t="shared" si="27"/>
        <v>0.8245287489182923</v>
      </c>
      <c r="AF25" s="17">
        <f t="shared" si="27"/>
        <v>0.9749405734568116</v>
      </c>
      <c r="AG25" s="17">
        <f t="shared" si="27"/>
        <v>0.9718600760651498</v>
      </c>
      <c r="AH25" s="17">
        <f aca="true" t="shared" si="28" ref="AH25:BM25">+AH18/AH15</f>
        <v>0.9478668121773037</v>
      </c>
      <c r="AI25" s="17">
        <f t="shared" si="28"/>
        <v>1.0000870147154488</v>
      </c>
      <c r="AJ25" s="17">
        <f t="shared" si="28"/>
        <v>0.971327282722284</v>
      </c>
      <c r="AK25" s="17">
        <f t="shared" si="28"/>
        <v>1.091505698443737</v>
      </c>
      <c r="AL25" s="17">
        <f t="shared" si="28"/>
        <v>0.8808867037939808</v>
      </c>
      <c r="AM25" s="17">
        <f t="shared" si="28"/>
        <v>0.9395040993523133</v>
      </c>
      <c r="AN25" s="17">
        <f t="shared" si="28"/>
        <v>1.0146662104072877</v>
      </c>
      <c r="AO25" s="17">
        <f t="shared" si="28"/>
        <v>0.9348221097738171</v>
      </c>
      <c r="AP25" s="17">
        <f t="shared" si="28"/>
        <v>0.9980143935409473</v>
      </c>
      <c r="AQ25" s="17">
        <f t="shared" si="28"/>
        <v>0.9209972262410837</v>
      </c>
      <c r="AR25" s="17">
        <f t="shared" si="28"/>
        <v>0.9553951140388479</v>
      </c>
      <c r="AS25" s="17">
        <f t="shared" si="28"/>
        <v>0.9636193727071108</v>
      </c>
      <c r="AT25" s="17">
        <f t="shared" si="28"/>
        <v>0.9667377714456519</v>
      </c>
      <c r="AU25" s="17">
        <f t="shared" si="28"/>
        <v>0.987474309120927</v>
      </c>
      <c r="AV25" s="17">
        <f t="shared" si="28"/>
        <v>0.9721750648600497</v>
      </c>
      <c r="AW25" s="17">
        <f t="shared" si="28"/>
        <v>0.977507597060349</v>
      </c>
      <c r="AX25" s="17">
        <f t="shared" si="28"/>
        <v>0.8792852714877614</v>
      </c>
      <c r="AY25" s="17">
        <f t="shared" si="28"/>
        <v>0.9579673812148863</v>
      </c>
      <c r="AZ25" s="17">
        <f t="shared" si="28"/>
        <v>1.0971667444769866</v>
      </c>
      <c r="BA25" s="17">
        <f t="shared" si="28"/>
        <v>0.8440263107696238</v>
      </c>
      <c r="BB25" s="17">
        <f t="shared" si="28"/>
        <v>0.9606968431718403</v>
      </c>
      <c r="BC25" s="17">
        <f t="shared" si="28"/>
        <v>0.9526723980076447</v>
      </c>
      <c r="BD25" s="17">
        <f t="shared" si="28"/>
        <v>0.9700098072344254</v>
      </c>
      <c r="BE25" s="17">
        <f t="shared" si="28"/>
        <v>0.9710663419181338</v>
      </c>
      <c r="BF25" s="17">
        <f t="shared" si="28"/>
        <v>0.9488952715029714</v>
      </c>
      <c r="BG25" s="17">
        <f t="shared" si="28"/>
        <v>1.0587937268995224</v>
      </c>
      <c r="BH25" s="17">
        <f t="shared" si="28"/>
        <v>0.9295838379531706</v>
      </c>
      <c r="BI25" s="17">
        <f t="shared" si="28"/>
        <v>0.9372702520635281</v>
      </c>
      <c r="BJ25" s="17">
        <f t="shared" si="28"/>
        <v>0.8959329234539756</v>
      </c>
      <c r="BK25" s="17">
        <f t="shared" si="28"/>
        <v>0.9114909058506235</v>
      </c>
      <c r="BL25" s="17">
        <f t="shared" si="28"/>
        <v>1.0044402128188152</v>
      </c>
      <c r="BM25" s="17">
        <f t="shared" si="28"/>
        <v>0.8972905918206477</v>
      </c>
      <c r="BN25" s="17">
        <f aca="true" t="shared" si="29" ref="BN25:CT25">+BN18/BN15</f>
        <v>1.0144889251457352</v>
      </c>
      <c r="BO25" s="17">
        <f t="shared" si="29"/>
        <v>0.9536470086522126</v>
      </c>
      <c r="BP25" s="17">
        <f t="shared" si="29"/>
        <v>0.9590452978439956</v>
      </c>
      <c r="BQ25" s="17">
        <f t="shared" si="29"/>
        <v>0.9459658426414217</v>
      </c>
      <c r="BR25" s="17">
        <f t="shared" si="29"/>
        <v>0.9126214255462987</v>
      </c>
      <c r="BS25" s="17">
        <f t="shared" si="29"/>
        <v>1.0123159331817644</v>
      </c>
      <c r="BT25" s="17">
        <f t="shared" si="29"/>
        <v>0.9205783141123594</v>
      </c>
      <c r="BU25" s="17">
        <f t="shared" si="29"/>
        <v>0.9577262303559653</v>
      </c>
      <c r="BV25" s="17">
        <f t="shared" si="29"/>
        <v>0.9888872327875741</v>
      </c>
      <c r="BW25" s="17">
        <f t="shared" si="29"/>
        <v>1.0019400347761007</v>
      </c>
      <c r="BX25" s="17">
        <f t="shared" si="29"/>
        <v>0.8634614725419271</v>
      </c>
      <c r="BY25" s="17">
        <f t="shared" si="29"/>
        <v>0.8401811478186145</v>
      </c>
      <c r="BZ25" s="17">
        <f t="shared" si="29"/>
        <v>0.8442442677647776</v>
      </c>
      <c r="CA25" s="17">
        <f t="shared" si="29"/>
        <v>0.8411222148718923</v>
      </c>
      <c r="CB25" s="17">
        <f t="shared" si="29"/>
        <v>0.8425662860656538</v>
      </c>
      <c r="CC25" s="17">
        <f t="shared" si="29"/>
        <v>0.9791451458093734</v>
      </c>
      <c r="CD25" s="17">
        <f t="shared" si="29"/>
        <v>0.9713347066411343</v>
      </c>
      <c r="CE25" s="17">
        <f t="shared" si="29"/>
        <v>1.0664680294673694</v>
      </c>
      <c r="CF25" s="17">
        <f t="shared" si="29"/>
        <v>0.9856813586942826</v>
      </c>
      <c r="CG25" s="17">
        <f t="shared" si="29"/>
        <v>1.0527665933251231</v>
      </c>
      <c r="CH25" s="17">
        <f t="shared" si="29"/>
        <v>0.8784196941430809</v>
      </c>
      <c r="CI25" s="17">
        <f t="shared" si="29"/>
        <v>0.9235861107732423</v>
      </c>
      <c r="CJ25" s="17">
        <f t="shared" si="29"/>
        <v>1.0236925552966594</v>
      </c>
      <c r="CK25" s="17">
        <f t="shared" si="29"/>
        <v>0.9590506319530577</v>
      </c>
      <c r="CL25" s="17">
        <f t="shared" si="29"/>
        <v>0.9485986160088677</v>
      </c>
      <c r="CM25" s="17">
        <f t="shared" si="29"/>
        <v>0.9378996548872486</v>
      </c>
      <c r="CN25" s="17">
        <f t="shared" si="29"/>
        <v>1.0216420277927807</v>
      </c>
      <c r="CO25" s="17">
        <f t="shared" si="29"/>
        <v>0.979986745968411</v>
      </c>
      <c r="CP25" s="17">
        <f t="shared" si="29"/>
        <v>0.9583194100851894</v>
      </c>
      <c r="CQ25" s="17">
        <f t="shared" si="29"/>
        <v>0.9663807965488115</v>
      </c>
      <c r="CR25" s="17">
        <f t="shared" si="29"/>
        <v>1.001747996005729</v>
      </c>
      <c r="CS25" s="17">
        <f t="shared" si="29"/>
        <v>1.0642767951773644</v>
      </c>
      <c r="CT25" s="17">
        <f t="shared" si="29"/>
        <v>0.9183283002334334</v>
      </c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</row>
    <row r="26" spans="1:112" s="23" customFormat="1" ht="15" customHeight="1">
      <c r="A26" s="22" t="s">
        <v>32</v>
      </c>
      <c r="B26" s="17">
        <v>0.9571585314800866</v>
      </c>
      <c r="C26" s="17">
        <v>0.9657688810838169</v>
      </c>
      <c r="D26" s="17">
        <v>0.9663752221190736</v>
      </c>
      <c r="E26" s="17">
        <v>0.9693335135503841</v>
      </c>
      <c r="F26" s="17">
        <v>0.9658776381566604</v>
      </c>
      <c r="G26" s="17">
        <v>0.9606648957449581</v>
      </c>
      <c r="H26" s="17">
        <v>0.9640567133245814</v>
      </c>
      <c r="I26" s="17">
        <v>0.9647945299594747</v>
      </c>
      <c r="J26" s="17">
        <v>0.9695097679104832</v>
      </c>
      <c r="K26" s="17">
        <v>0.9705942486579157</v>
      </c>
      <c r="L26" s="17">
        <v>0.9616864056400181</v>
      </c>
      <c r="M26" s="17">
        <v>0.9650552123148131</v>
      </c>
      <c r="N26" s="17">
        <v>0.9611513054973787</v>
      </c>
      <c r="O26" s="17">
        <v>0.9583978007566569</v>
      </c>
      <c r="P26" s="17">
        <v>0.9619273832568025</v>
      </c>
      <c r="Q26" s="17">
        <v>0.9623892538717649</v>
      </c>
      <c r="R26" s="17">
        <v>0.9518009340270684</v>
      </c>
      <c r="S26" s="17">
        <v>0.9600621483062372</v>
      </c>
      <c r="T26" s="17">
        <v>0.9583977997753569</v>
      </c>
      <c r="U26" s="17">
        <v>0.9578377906655529</v>
      </c>
      <c r="V26" s="17">
        <v>0.951245298931163</v>
      </c>
      <c r="W26" s="17">
        <v>0.9473859380917409</v>
      </c>
      <c r="X26" s="17">
        <v>0.9618824174091599</v>
      </c>
      <c r="Y26" s="17">
        <v>0.9608314849957418</v>
      </c>
      <c r="Z26" s="17">
        <v>0.9552744237968641</v>
      </c>
      <c r="AA26" s="17">
        <v>0.9501582425501025</v>
      </c>
      <c r="AB26" s="17">
        <v>0.9470983352675663</v>
      </c>
      <c r="AC26" s="17">
        <v>0.9492349486763559</v>
      </c>
      <c r="AD26" s="17">
        <v>0.9513471529936672</v>
      </c>
      <c r="AE26" s="17">
        <v>0.9401919445265937</v>
      </c>
      <c r="AF26" s="17">
        <v>0.938955124111489</v>
      </c>
      <c r="AG26" s="17">
        <v>0.9432303690857375</v>
      </c>
      <c r="AH26" s="17">
        <v>0.9451698945806638</v>
      </c>
      <c r="AI26" s="17">
        <v>0.9521195611223557</v>
      </c>
      <c r="AJ26" s="17">
        <v>0.9530993708999272</v>
      </c>
      <c r="AK26" s="17">
        <v>0.9583497922577449</v>
      </c>
      <c r="AL26" s="17">
        <v>0.9579416665947814</v>
      </c>
      <c r="AM26" s="17">
        <v>0.9557702798459665</v>
      </c>
      <c r="AN26" s="17">
        <v>0.9572362966403007</v>
      </c>
      <c r="AO26" s="17">
        <v>0.9579397649120904</v>
      </c>
      <c r="AP26" s="17">
        <v>0.9620223807887633</v>
      </c>
      <c r="AQ26" s="17">
        <v>0.9700270330596334</v>
      </c>
      <c r="AR26" s="17">
        <v>0.968264098321197</v>
      </c>
      <c r="AS26" s="17">
        <v>0.9675148415275986</v>
      </c>
      <c r="AT26" s="17">
        <v>0.9691372702592181</v>
      </c>
      <c r="AU26" s="17">
        <v>0.968344554841321</v>
      </c>
      <c r="AV26" s="17">
        <v>0.9684336677882509</v>
      </c>
      <c r="AW26" s="17">
        <v>0.9600185720823378</v>
      </c>
      <c r="AX26" s="17">
        <v>0.959580431083764</v>
      </c>
      <c r="AY26" s="17">
        <v>0.9609420845747096</v>
      </c>
      <c r="AZ26" s="17">
        <v>0.9666761881213891</v>
      </c>
      <c r="BA26" s="17">
        <v>0.9588358048498856</v>
      </c>
      <c r="BB26" s="17">
        <v>0.9560063795560094</v>
      </c>
      <c r="BC26" s="17">
        <v>0.9586255752292155</v>
      </c>
      <c r="BD26" s="17">
        <v>0.9599531872539704</v>
      </c>
      <c r="BE26" s="17">
        <v>0.960680006421604</v>
      </c>
      <c r="BF26" s="17">
        <v>0.9590855677753873</v>
      </c>
      <c r="BG26" s="17">
        <v>0.965358925345507</v>
      </c>
      <c r="BH26" s="17">
        <v>0.9616090063216243</v>
      </c>
      <c r="BI26" s="17">
        <v>0.958217622405078</v>
      </c>
      <c r="BJ26" s="17">
        <v>0.9589543976184798</v>
      </c>
      <c r="BK26" s="17">
        <v>0.9552596736366767</v>
      </c>
      <c r="BL26" s="17">
        <v>0.9496946250874158</v>
      </c>
      <c r="BM26" s="17">
        <v>0.9535283643582187</v>
      </c>
      <c r="BN26" s="17">
        <v>0.9580337436890786</v>
      </c>
      <c r="BO26" s="17">
        <v>0.9581551932256025</v>
      </c>
      <c r="BP26" s="17">
        <v>0.9571576490046272</v>
      </c>
      <c r="BQ26" s="17">
        <v>0.9548840386740314</v>
      </c>
      <c r="BR26" s="17">
        <v>0.9514898895867628</v>
      </c>
      <c r="BS26" s="17">
        <v>0.9483643561061431</v>
      </c>
      <c r="BT26" s="17">
        <v>0.9474298675371895</v>
      </c>
      <c r="BU26" s="17">
        <v>0.9490528075687412</v>
      </c>
      <c r="BV26" s="17">
        <v>0.9562351134904786</v>
      </c>
      <c r="BW26" s="17">
        <v>0.9629753023387556</v>
      </c>
      <c r="BX26" s="17">
        <v>0.9522244003830531</v>
      </c>
      <c r="BY26" s="17">
        <v>0.9484482114338301</v>
      </c>
      <c r="BZ26" s="17">
        <v>0.9352651753097942</v>
      </c>
      <c r="CA26" s="17">
        <v>0.9257180305898267</v>
      </c>
      <c r="CB26" s="17">
        <v>0.9144865921763855</v>
      </c>
      <c r="CC26" s="17">
        <v>0.917382635712525</v>
      </c>
      <c r="CD26" s="17">
        <v>0.9224507439883788</v>
      </c>
      <c r="CE26" s="17">
        <v>0.9271171437216909</v>
      </c>
      <c r="CF26" s="17">
        <v>0.932582229766814</v>
      </c>
      <c r="CG26" s="17">
        <v>0.9397994904158062</v>
      </c>
      <c r="CH26" s="17">
        <v>0.9312275122671261</v>
      </c>
      <c r="CI26" s="17">
        <v>0.925191106702328</v>
      </c>
      <c r="CJ26" s="17">
        <v>0.9377012297175833</v>
      </c>
      <c r="CK26" s="17">
        <v>0.9464816572827183</v>
      </c>
      <c r="CL26" s="17">
        <v>0.9545146506198059</v>
      </c>
      <c r="CM26" s="17">
        <v>0.9627188022096145</v>
      </c>
      <c r="CN26" s="17">
        <v>0.9801444928183722</v>
      </c>
      <c r="CO26" s="17">
        <v>0.9802218897169561</v>
      </c>
      <c r="CP26" s="17">
        <v>0.978984067807173</v>
      </c>
      <c r="CQ26" s="17">
        <v>0.9699787999066496</v>
      </c>
      <c r="CR26" s="17">
        <v>0.9715861002373373</v>
      </c>
      <c r="CS26" s="17">
        <v>0.973536289163651</v>
      </c>
      <c r="CT26" s="17">
        <v>0.9757786797210484</v>
      </c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</row>
    <row r="27" spans="1:112" s="23" customFormat="1" ht="15" customHeight="1">
      <c r="A27" s="22" t="s">
        <v>16</v>
      </c>
      <c r="B27" s="17">
        <f aca="true" t="shared" si="30" ref="B27:AG27">+(1-B23)*B25</f>
        <v>0.717319498912669</v>
      </c>
      <c r="C27" s="17">
        <f t="shared" si="30"/>
        <v>0.6977058932873659</v>
      </c>
      <c r="D27" s="17">
        <f t="shared" si="30"/>
        <v>0.6896528024213326</v>
      </c>
      <c r="E27" s="17">
        <f t="shared" si="30"/>
        <v>0.6530713667920236</v>
      </c>
      <c r="F27" s="17">
        <f t="shared" si="30"/>
        <v>0.7218157823012576</v>
      </c>
      <c r="G27" s="17">
        <f t="shared" si="30"/>
        <v>0.6220312687855354</v>
      </c>
      <c r="H27" s="17">
        <f t="shared" si="30"/>
        <v>0.7239978071096801</v>
      </c>
      <c r="I27" s="17">
        <f t="shared" si="30"/>
        <v>0.6802473941692782</v>
      </c>
      <c r="J27" s="17">
        <f t="shared" si="30"/>
        <v>0.731522596577742</v>
      </c>
      <c r="K27" s="17">
        <f t="shared" si="30"/>
        <v>0.6601363471679869</v>
      </c>
      <c r="L27" s="17">
        <f t="shared" si="30"/>
        <v>0.611413910016095</v>
      </c>
      <c r="M27" s="17">
        <f t="shared" si="30"/>
        <v>0.754099311684128</v>
      </c>
      <c r="N27" s="17">
        <f t="shared" si="30"/>
        <v>0.6708807516079155</v>
      </c>
      <c r="O27" s="17">
        <f t="shared" si="30"/>
        <v>0.7856846391689005</v>
      </c>
      <c r="P27" s="17">
        <f t="shared" si="30"/>
        <v>0.7095675145041137</v>
      </c>
      <c r="Q27" s="17">
        <f t="shared" si="30"/>
        <v>0.6395501703973355</v>
      </c>
      <c r="R27" s="17">
        <f t="shared" si="30"/>
        <v>0.6525130994907344</v>
      </c>
      <c r="S27" s="17">
        <f t="shared" si="30"/>
        <v>0.6667669836976596</v>
      </c>
      <c r="T27" s="17">
        <f t="shared" si="30"/>
        <v>0.695994516583721</v>
      </c>
      <c r="U27" s="17">
        <f t="shared" si="30"/>
        <v>0.6648162265257841</v>
      </c>
      <c r="V27" s="17">
        <f t="shared" si="30"/>
        <v>0.6795001666888735</v>
      </c>
      <c r="W27" s="17">
        <f t="shared" si="30"/>
        <v>0.6564195267252777</v>
      </c>
      <c r="X27" s="17">
        <f t="shared" si="30"/>
        <v>0.7573859915437153</v>
      </c>
      <c r="Y27" s="17">
        <f t="shared" si="30"/>
        <v>0.7344030575575022</v>
      </c>
      <c r="Z27" s="17">
        <f t="shared" si="30"/>
        <v>0.6257499534204302</v>
      </c>
      <c r="AA27" s="17">
        <f t="shared" si="30"/>
        <v>0.7179657230642699</v>
      </c>
      <c r="AB27" s="17">
        <f t="shared" si="30"/>
        <v>0.693639309063934</v>
      </c>
      <c r="AC27" s="17">
        <f t="shared" si="30"/>
        <v>0.6676541352559429</v>
      </c>
      <c r="AD27" s="17">
        <f t="shared" si="30"/>
        <v>0.6282229783256168</v>
      </c>
      <c r="AE27" s="17">
        <f t="shared" si="30"/>
        <v>0.5849610316108858</v>
      </c>
      <c r="AF27" s="17">
        <f t="shared" si="30"/>
        <v>0.6810134251672922</v>
      </c>
      <c r="AG27" s="17">
        <f t="shared" si="30"/>
        <v>0.6915923705598195</v>
      </c>
      <c r="AH27" s="17">
        <f aca="true" t="shared" si="31" ref="AH27:BM27">+(1-AH23)*AH25</f>
        <v>0.6821317965199432</v>
      </c>
      <c r="AI27" s="17">
        <f t="shared" si="31"/>
        <v>0.7258627229018937</v>
      </c>
      <c r="AJ27" s="17">
        <f t="shared" si="31"/>
        <v>0.7448164791817224</v>
      </c>
      <c r="AK27" s="17">
        <f t="shared" si="31"/>
        <v>0.7740543401937274</v>
      </c>
      <c r="AL27" s="17">
        <f t="shared" si="31"/>
        <v>0.6644991741244853</v>
      </c>
      <c r="AM27" s="17">
        <f t="shared" si="31"/>
        <v>0.7129366088398268</v>
      </c>
      <c r="AN27" s="17">
        <f t="shared" si="31"/>
        <v>0.7157213888480374</v>
      </c>
      <c r="AO27" s="17">
        <f t="shared" si="31"/>
        <v>0.7128470879780955</v>
      </c>
      <c r="AP27" s="17">
        <f t="shared" si="31"/>
        <v>0.6721047626484783</v>
      </c>
      <c r="AQ27" s="17">
        <f t="shared" si="31"/>
        <v>0.6695128139715111</v>
      </c>
      <c r="AR27" s="17">
        <f t="shared" si="31"/>
        <v>0.6744279130425515</v>
      </c>
      <c r="AS27" s="17">
        <f t="shared" si="31"/>
        <v>0.6789521427303904</v>
      </c>
      <c r="AT27" s="17">
        <f t="shared" si="31"/>
        <v>0.7291327747231612</v>
      </c>
      <c r="AU27" s="17">
        <f t="shared" si="31"/>
        <v>0.7181184926413943</v>
      </c>
      <c r="AV27" s="17">
        <f t="shared" si="31"/>
        <v>0.7699080893697596</v>
      </c>
      <c r="AW27" s="17">
        <f t="shared" si="31"/>
        <v>0.7505714196365418</v>
      </c>
      <c r="AX27" s="17">
        <f t="shared" si="31"/>
        <v>0.6508282494162555</v>
      </c>
      <c r="AY27" s="17">
        <f t="shared" si="31"/>
        <v>0.7841211461800051</v>
      </c>
      <c r="AZ27" s="17">
        <f t="shared" si="31"/>
        <v>0.7201183772926569</v>
      </c>
      <c r="BA27" s="17">
        <f t="shared" si="31"/>
        <v>0.6305704412443425</v>
      </c>
      <c r="BB27" s="17">
        <f t="shared" si="31"/>
        <v>0.7110426155871983</v>
      </c>
      <c r="BC27" s="17">
        <f t="shared" si="31"/>
        <v>0.7205127891098498</v>
      </c>
      <c r="BD27" s="17">
        <f t="shared" si="31"/>
        <v>0.7272485323559812</v>
      </c>
      <c r="BE27" s="17">
        <f t="shared" si="31"/>
        <v>0.7418720962550734</v>
      </c>
      <c r="BF27" s="17">
        <f t="shared" si="31"/>
        <v>0.7658133818112159</v>
      </c>
      <c r="BG27" s="17">
        <f t="shared" si="31"/>
        <v>0.8009133441855852</v>
      </c>
      <c r="BH27" s="17">
        <f t="shared" si="31"/>
        <v>0.7504039507215384</v>
      </c>
      <c r="BI27" s="17">
        <f t="shared" si="31"/>
        <v>0.7445928373007787</v>
      </c>
      <c r="BJ27" s="17">
        <f t="shared" si="31"/>
        <v>0.7044695571410627</v>
      </c>
      <c r="BK27" s="17">
        <f t="shared" si="31"/>
        <v>0.7455078691692031</v>
      </c>
      <c r="BL27" s="17">
        <f t="shared" si="31"/>
        <v>0.7490142559133199</v>
      </c>
      <c r="BM27" s="17">
        <f t="shared" si="31"/>
        <v>0.7224937403603034</v>
      </c>
      <c r="BN27" s="17">
        <f aca="true" t="shared" si="32" ref="BN27:CT27">+(1-BN23)*BN25</f>
        <v>0.7487692309464764</v>
      </c>
      <c r="BO27" s="17">
        <f t="shared" si="32"/>
        <v>0.7414410664291956</v>
      </c>
      <c r="BP27" s="17">
        <f t="shared" si="32"/>
        <v>0.7325998783384476</v>
      </c>
      <c r="BQ27" s="17">
        <f t="shared" si="32"/>
        <v>0.7383289049946962</v>
      </c>
      <c r="BR27" s="17">
        <f t="shared" si="32"/>
        <v>0.7372615311469074</v>
      </c>
      <c r="BS27" s="17">
        <f t="shared" si="32"/>
        <v>0.7803812495583111</v>
      </c>
      <c r="BT27" s="17">
        <f t="shared" si="32"/>
        <v>0.7630618496829182</v>
      </c>
      <c r="BU27" s="17">
        <f t="shared" si="32"/>
        <v>0.7767457859842372</v>
      </c>
      <c r="BV27" s="17">
        <f t="shared" si="32"/>
        <v>0.7858122418532828</v>
      </c>
      <c r="BW27" s="17">
        <f t="shared" si="32"/>
        <v>0.7903186137552148</v>
      </c>
      <c r="BX27" s="17">
        <f t="shared" si="32"/>
        <v>0.6829111810390188</v>
      </c>
      <c r="BY27" s="17">
        <f t="shared" si="32"/>
        <v>0.6184697409977002</v>
      </c>
      <c r="BZ27" s="17">
        <f t="shared" si="32"/>
        <v>0.5672512920344219</v>
      </c>
      <c r="CA27" s="17">
        <f t="shared" si="32"/>
        <v>0.5869531834476134</v>
      </c>
      <c r="CB27" s="17">
        <f t="shared" si="32"/>
        <v>0.6362604942938308</v>
      </c>
      <c r="CC27" s="17">
        <f t="shared" si="32"/>
        <v>0.73349406403145</v>
      </c>
      <c r="CD27" s="17">
        <f t="shared" si="32"/>
        <v>0.7208683084250221</v>
      </c>
      <c r="CE27" s="17">
        <f t="shared" si="32"/>
        <v>0.7745282821670623</v>
      </c>
      <c r="CF27" s="17">
        <f t="shared" si="32"/>
        <v>0.8000421240533845</v>
      </c>
      <c r="CG27" s="17">
        <f t="shared" si="32"/>
        <v>0.772522924357576</v>
      </c>
      <c r="CH27" s="17">
        <f t="shared" si="32"/>
        <v>0.6601898504733984</v>
      </c>
      <c r="CI27" s="17">
        <f t="shared" si="32"/>
        <v>0.7155375349019059</v>
      </c>
      <c r="CJ27" s="17">
        <f t="shared" si="32"/>
        <v>0.7311564941502281</v>
      </c>
      <c r="CK27" s="17">
        <f t="shared" si="32"/>
        <v>0.7064585220050381</v>
      </c>
      <c r="CL27" s="17">
        <f t="shared" si="32"/>
        <v>0.647357683991122</v>
      </c>
      <c r="CM27" s="17">
        <f t="shared" si="32"/>
        <v>0.7100563618002115</v>
      </c>
      <c r="CN27" s="17">
        <f t="shared" si="32"/>
        <v>0.717562684902686</v>
      </c>
      <c r="CO27" s="17">
        <f t="shared" si="32"/>
        <v>0.7169343884997308</v>
      </c>
      <c r="CP27" s="17">
        <f t="shared" si="32"/>
        <v>0.6890611426350487</v>
      </c>
      <c r="CQ27" s="17">
        <f t="shared" si="32"/>
        <v>0.7332485244204159</v>
      </c>
      <c r="CR27" s="17">
        <f t="shared" si="32"/>
        <v>0.7652989864701008</v>
      </c>
      <c r="CS27" s="17">
        <f t="shared" si="32"/>
        <v>0.826089576278357</v>
      </c>
      <c r="CT27" s="17">
        <f t="shared" si="32"/>
        <v>0.695960883384504</v>
      </c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</row>
    <row r="28" spans="1:112" s="23" customFormat="1" ht="15" customHeight="1">
      <c r="A28" s="22" t="s">
        <v>33</v>
      </c>
      <c r="B28" s="17">
        <v>0.6837324917764956</v>
      </c>
      <c r="C28" s="17">
        <v>0.683552514128041</v>
      </c>
      <c r="D28" s="17">
        <v>0.6843586208610742</v>
      </c>
      <c r="E28" s="17">
        <v>0.6886033086874838</v>
      </c>
      <c r="F28" s="17">
        <v>0.6853052242777499</v>
      </c>
      <c r="G28" s="17">
        <v>0.6823964901600384</v>
      </c>
      <c r="H28" s="17">
        <v>0.6855955332162817</v>
      </c>
      <c r="I28" s="17">
        <v>0.6871657495039842</v>
      </c>
      <c r="J28" s="17">
        <v>0.6922250993278659</v>
      </c>
      <c r="K28" s="17">
        <v>0.6900242628651314</v>
      </c>
      <c r="L28" s="17">
        <v>0.6854958100887495</v>
      </c>
      <c r="M28" s="17">
        <v>0.6878804982149317</v>
      </c>
      <c r="N28" s="17">
        <v>0.6842548278728755</v>
      </c>
      <c r="O28" s="17">
        <v>0.690748687331098</v>
      </c>
      <c r="P28" s="17">
        <v>0.6923297447930177</v>
      </c>
      <c r="Q28" s="17">
        <v>0.6913022043779588</v>
      </c>
      <c r="R28" s="17">
        <v>0.6853979104150282</v>
      </c>
      <c r="S28" s="17">
        <v>0.6892123609613249</v>
      </c>
      <c r="T28" s="17">
        <v>0.6866965326674054</v>
      </c>
      <c r="U28" s="17">
        <v>0.6853164926343246</v>
      </c>
      <c r="V28" s="17">
        <v>0.6810023814617036</v>
      </c>
      <c r="W28" s="17">
        <v>0.6805469796006856</v>
      </c>
      <c r="X28" s="17">
        <v>0.6925569433326157</v>
      </c>
      <c r="Y28" s="17">
        <v>0.6910222975736755</v>
      </c>
      <c r="Z28" s="17">
        <v>0.687411498860172</v>
      </c>
      <c r="AA28" s="17">
        <v>0.6828412814548092</v>
      </c>
      <c r="AB28" s="17">
        <v>0.6815289011848007</v>
      </c>
      <c r="AC28" s="17">
        <v>0.6836907425119771</v>
      </c>
      <c r="AD28" s="17">
        <v>0.6812220367892644</v>
      </c>
      <c r="AE28" s="17">
        <v>0.6738441618937397</v>
      </c>
      <c r="AF28" s="17">
        <v>0.672531285449591</v>
      </c>
      <c r="AG28" s="17">
        <v>0.6749861048195782</v>
      </c>
      <c r="AH28" s="17">
        <v>0.6752693019823516</v>
      </c>
      <c r="AI28" s="17">
        <v>0.6812539894014555</v>
      </c>
      <c r="AJ28" s="17">
        <v>0.6806069623321301</v>
      </c>
      <c r="AK28" s="17">
        <v>0.6839361434316765</v>
      </c>
      <c r="AL28" s="17">
        <v>0.6868445497222891</v>
      </c>
      <c r="AM28" s="17">
        <v>0.6863687836496593</v>
      </c>
      <c r="AN28" s="17">
        <v>0.6883318268981455</v>
      </c>
      <c r="AO28" s="17">
        <v>0.6918501270797881</v>
      </c>
      <c r="AP28" s="17">
        <v>0.6958239208028743</v>
      </c>
      <c r="AQ28" s="17">
        <v>0.703096972240028</v>
      </c>
      <c r="AR28" s="17">
        <v>0.702418288459376</v>
      </c>
      <c r="AS28" s="17">
        <v>0.7011455264077092</v>
      </c>
      <c r="AT28" s="17">
        <v>0.7052876848369639</v>
      </c>
      <c r="AU28" s="17">
        <v>0.7048292529836584</v>
      </c>
      <c r="AV28" s="17">
        <v>0.706948460609178</v>
      </c>
      <c r="AW28" s="17">
        <v>0.7054037825709082</v>
      </c>
      <c r="AX28" s="17">
        <v>0.70409150568194</v>
      </c>
      <c r="AY28" s="17">
        <v>0.7083278864800915</v>
      </c>
      <c r="AZ28" s="17">
        <v>0.708786036854024</v>
      </c>
      <c r="BA28" s="17">
        <v>0.7019784980754554</v>
      </c>
      <c r="BB28" s="17">
        <v>0.7053068446419513</v>
      </c>
      <c r="BC28" s="17">
        <v>0.7096375875948906</v>
      </c>
      <c r="BD28" s="17">
        <v>0.714396896172487</v>
      </c>
      <c r="BE28" s="17">
        <v>0.7203238590269788</v>
      </c>
      <c r="BF28" s="17">
        <v>0.7234426649965431</v>
      </c>
      <c r="BG28" s="17">
        <v>0.7307317991626122</v>
      </c>
      <c r="BH28" s="17">
        <v>0.7292928290061689</v>
      </c>
      <c r="BI28" s="17">
        <v>0.7289010841946656</v>
      </c>
      <c r="BJ28" s="17">
        <v>0.7329964175230721</v>
      </c>
      <c r="BK28" s="17">
        <v>0.7305735979684206</v>
      </c>
      <c r="BL28" s="17">
        <v>0.7330127607409681</v>
      </c>
      <c r="BM28" s="17">
        <v>0.7405218988483571</v>
      </c>
      <c r="BN28" s="17">
        <v>0.7436578906147019</v>
      </c>
      <c r="BO28" s="17">
        <v>0.7455120222185728</v>
      </c>
      <c r="BP28" s="17">
        <v>0.7458525103062744</v>
      </c>
      <c r="BQ28" s="17">
        <v>0.7454520817642865</v>
      </c>
      <c r="BR28" s="17">
        <v>0.7431324730073661</v>
      </c>
      <c r="BS28" s="17">
        <v>0.7416830221708426</v>
      </c>
      <c r="BT28" s="17">
        <v>0.7428296670719609</v>
      </c>
      <c r="BU28" s="17">
        <v>0.7454559808713469</v>
      </c>
      <c r="BV28" s="17">
        <v>0.7517419286043574</v>
      </c>
      <c r="BW28" s="17">
        <v>0.7551128898369063</v>
      </c>
      <c r="BX28" s="17">
        <v>0.750031336506899</v>
      </c>
      <c r="BY28" s="17">
        <v>0.742064631169065</v>
      </c>
      <c r="BZ28" s="17">
        <v>0.7265068059312982</v>
      </c>
      <c r="CA28" s="17">
        <v>0.7125099916880452</v>
      </c>
      <c r="CB28" s="17">
        <v>0.7031060640217959</v>
      </c>
      <c r="CC28" s="17">
        <v>0.7027424150077896</v>
      </c>
      <c r="CD28" s="17">
        <v>0.7013540193801278</v>
      </c>
      <c r="CE28" s="17">
        <v>0.7012047486701685</v>
      </c>
      <c r="CF28" s="17">
        <v>0.7038170986109712</v>
      </c>
      <c r="CG28" s="17">
        <v>0.7032889380657462</v>
      </c>
      <c r="CH28" s="17">
        <v>0.6935865427075435</v>
      </c>
      <c r="CI28" s="17">
        <v>0.6880539221637236</v>
      </c>
      <c r="CJ28" s="17">
        <v>0.6917060521754896</v>
      </c>
      <c r="CK28" s="17">
        <v>0.6982136888199109</v>
      </c>
      <c r="CL28" s="17">
        <v>0.7046150113421136</v>
      </c>
      <c r="CM28" s="17">
        <v>0.7156650555499787</v>
      </c>
      <c r="CN28" s="17">
        <v>0.7238373969719145</v>
      </c>
      <c r="CO28" s="17">
        <v>0.7223518581968552</v>
      </c>
      <c r="CP28" s="17">
        <v>0.7193514855202323</v>
      </c>
      <c r="CQ28" s="17">
        <v>0.7155744690994003</v>
      </c>
      <c r="CR28" s="17">
        <v>0.7135671805937658</v>
      </c>
      <c r="CS28" s="17">
        <v>0.7186107549528238</v>
      </c>
      <c r="CT28" s="17">
        <v>0.7207978843708772</v>
      </c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</row>
    <row r="29" spans="1:112" s="23" customFormat="1" ht="15" customHeight="1">
      <c r="A29" s="22" t="s">
        <v>17</v>
      </c>
      <c r="B29" s="17">
        <f aca="true" t="shared" si="33" ref="B29:AG29">+B16/B2</f>
        <v>0.7182125136660303</v>
      </c>
      <c r="C29" s="17">
        <f t="shared" si="33"/>
        <v>0.6783480993328806</v>
      </c>
      <c r="D29" s="17">
        <f t="shared" si="33"/>
        <v>0.7715060426342628</v>
      </c>
      <c r="E29" s="17">
        <f t="shared" si="33"/>
        <v>0.7036205241609387</v>
      </c>
      <c r="F29" s="17">
        <f t="shared" si="33"/>
        <v>0.726803332231925</v>
      </c>
      <c r="G29" s="17">
        <f t="shared" si="33"/>
        <v>0.6211273429728389</v>
      </c>
      <c r="H29" s="17">
        <f t="shared" si="33"/>
        <v>0.7312007816608656</v>
      </c>
      <c r="I29" s="17">
        <f t="shared" si="33"/>
        <v>0.6745385916652058</v>
      </c>
      <c r="J29" s="17">
        <f t="shared" si="33"/>
        <v>0.7264702679639967</v>
      </c>
      <c r="K29" s="17">
        <f t="shared" si="33"/>
        <v>0.6762607144442905</v>
      </c>
      <c r="L29" s="17">
        <f t="shared" si="33"/>
        <v>0.6087491359433744</v>
      </c>
      <c r="M29" s="17">
        <f t="shared" si="33"/>
        <v>0.763231314306393</v>
      </c>
      <c r="N29" s="17">
        <f t="shared" si="33"/>
        <v>0.6689372347541855</v>
      </c>
      <c r="O29" s="17">
        <f t="shared" si="33"/>
        <v>0.7727905117905994</v>
      </c>
      <c r="P29" s="17">
        <f t="shared" si="33"/>
        <v>0.712441283732833</v>
      </c>
      <c r="Q29" s="17">
        <f t="shared" si="33"/>
        <v>0.6306647230967337</v>
      </c>
      <c r="R29" s="17">
        <f t="shared" si="33"/>
        <v>0.6680350587899944</v>
      </c>
      <c r="S29" s="17">
        <f t="shared" si="33"/>
        <v>0.6607228677099647</v>
      </c>
      <c r="T29" s="17">
        <f t="shared" si="33"/>
        <v>0.7001754976011944</v>
      </c>
      <c r="U29" s="17">
        <f t="shared" si="33"/>
        <v>0.6692942220210688</v>
      </c>
      <c r="V29" s="17">
        <f t="shared" si="33"/>
        <v>0.6771504827682542</v>
      </c>
      <c r="W29" s="17">
        <f t="shared" si="33"/>
        <v>0.6617629147063979</v>
      </c>
      <c r="X29" s="17">
        <f t="shared" si="33"/>
        <v>0.7524222108839866</v>
      </c>
      <c r="Y29" s="17">
        <f t="shared" si="33"/>
        <v>0.7334330889508528</v>
      </c>
      <c r="Z29" s="17">
        <f t="shared" si="33"/>
        <v>0.6312070441040507</v>
      </c>
      <c r="AA29" s="17">
        <f t="shared" si="33"/>
        <v>0.7210987796664334</v>
      </c>
      <c r="AB29" s="17">
        <f t="shared" si="33"/>
        <v>0.6949988619713049</v>
      </c>
      <c r="AC29" s="17">
        <f t="shared" si="33"/>
        <v>0.6734731501200965</v>
      </c>
      <c r="AD29" s="17">
        <f t="shared" si="33"/>
        <v>0.6262927222360778</v>
      </c>
      <c r="AE29" s="17">
        <f t="shared" si="33"/>
        <v>0.5972179356557699</v>
      </c>
      <c r="AF29" s="17">
        <f t="shared" si="33"/>
        <v>0.6809033309129399</v>
      </c>
      <c r="AG29" s="17">
        <f t="shared" si="33"/>
        <v>0.6991731298394841</v>
      </c>
      <c r="AH29" s="17">
        <f aca="true" t="shared" si="34" ref="AH29:BM29">+AH16/AH2</f>
        <v>0.6713103025771002</v>
      </c>
      <c r="AI29" s="17">
        <f t="shared" si="34"/>
        <v>0.6921398900435279</v>
      </c>
      <c r="AJ29" s="17">
        <f t="shared" si="34"/>
        <v>0.7344281865111606</v>
      </c>
      <c r="AK29" s="17">
        <f t="shared" si="34"/>
        <v>0.7548906006864224</v>
      </c>
      <c r="AL29" s="17">
        <f t="shared" si="34"/>
        <v>0.6774000131788988</v>
      </c>
      <c r="AM29" s="17">
        <f t="shared" si="34"/>
        <v>0.7309393132840425</v>
      </c>
      <c r="AN29" s="17">
        <f t="shared" si="34"/>
        <v>0.7350351703315057</v>
      </c>
      <c r="AO29" s="17">
        <f t="shared" si="34"/>
        <v>0.710365179082207</v>
      </c>
      <c r="AP29" s="17">
        <f t="shared" si="34"/>
        <v>0.6774998097109439</v>
      </c>
      <c r="AQ29" s="17">
        <f t="shared" si="34"/>
        <v>0.671948584574691</v>
      </c>
      <c r="AR29" s="17">
        <f t="shared" si="34"/>
        <v>0.6737334686765509</v>
      </c>
      <c r="AS29" s="17">
        <f t="shared" si="34"/>
        <v>0.682846736152772</v>
      </c>
      <c r="AT29" s="17">
        <f t="shared" si="34"/>
        <v>0.720727179872295</v>
      </c>
      <c r="AU29" s="17">
        <f t="shared" si="34"/>
        <v>0.7089162845066587</v>
      </c>
      <c r="AV29" s="17">
        <f t="shared" si="34"/>
        <v>0.7669520302283681</v>
      </c>
      <c r="AW29" s="17">
        <f t="shared" si="34"/>
        <v>0.7494330854570175</v>
      </c>
      <c r="AX29" s="17">
        <f t="shared" si="34"/>
        <v>0.6534509349203464</v>
      </c>
      <c r="AY29" s="17">
        <f t="shared" si="34"/>
        <v>0.7673083184076084</v>
      </c>
      <c r="AZ29" s="17">
        <f t="shared" si="34"/>
        <v>0.7412765888823643</v>
      </c>
      <c r="BA29" s="17">
        <f t="shared" si="34"/>
        <v>0.6423583717808422</v>
      </c>
      <c r="BB29" s="17">
        <f t="shared" si="34"/>
        <v>0.7112497971894953</v>
      </c>
      <c r="BC29" s="17">
        <f t="shared" si="34"/>
        <v>0.7269769538929388</v>
      </c>
      <c r="BD29" s="17">
        <f t="shared" si="34"/>
        <v>0.73043283751565</v>
      </c>
      <c r="BE29" s="17">
        <f t="shared" si="34"/>
        <v>0.7431823930847936</v>
      </c>
      <c r="BF29" s="17">
        <f t="shared" si="34"/>
        <v>0.7585836961374081</v>
      </c>
      <c r="BG29" s="17">
        <f t="shared" si="34"/>
        <v>0.8050873981608587</v>
      </c>
      <c r="BH29" s="17">
        <f t="shared" si="34"/>
        <v>0.7479899525809887</v>
      </c>
      <c r="BI29" s="17">
        <f t="shared" si="34"/>
        <v>0.7490391687807604</v>
      </c>
      <c r="BJ29" s="17">
        <f t="shared" si="34"/>
        <v>0.718628216650104</v>
      </c>
      <c r="BK29" s="17">
        <f t="shared" si="34"/>
        <v>0.7394633584252787</v>
      </c>
      <c r="BL29" s="17">
        <f t="shared" si="34"/>
        <v>0.7477045922801007</v>
      </c>
      <c r="BM29" s="17">
        <f t="shared" si="34"/>
        <v>0.7271712265739049</v>
      </c>
      <c r="BN29" s="17">
        <f aca="true" t="shared" si="35" ref="BN29:CT29">+BN16/BN2</f>
        <v>0.7504238894755585</v>
      </c>
      <c r="BO29" s="17">
        <f t="shared" si="35"/>
        <v>0.733023223357172</v>
      </c>
      <c r="BP29" s="17">
        <f t="shared" si="35"/>
        <v>0.742485651558124</v>
      </c>
      <c r="BQ29" s="17">
        <f t="shared" si="35"/>
        <v>0.7353270154994909</v>
      </c>
      <c r="BR29" s="17">
        <f t="shared" si="35"/>
        <v>0.7257218412896759</v>
      </c>
      <c r="BS29" s="17">
        <f t="shared" si="35"/>
        <v>0.7831913482487243</v>
      </c>
      <c r="BT29" s="17">
        <f t="shared" si="35"/>
        <v>0.7453443358858213</v>
      </c>
      <c r="BU29" s="17">
        <f t="shared" si="35"/>
        <v>0.7845001891841453</v>
      </c>
      <c r="BV29" s="17">
        <f t="shared" si="35"/>
        <v>0.7889276854778863</v>
      </c>
      <c r="BW29" s="17">
        <f t="shared" si="35"/>
        <v>0.8296780347054831</v>
      </c>
      <c r="BX29" s="17">
        <f t="shared" si="35"/>
        <v>0.6930330139680794</v>
      </c>
      <c r="BY29" s="17">
        <f t="shared" si="35"/>
        <v>0.6105521506617373</v>
      </c>
      <c r="BZ29" s="17">
        <f t="shared" si="35"/>
        <v>0.5815550282406053</v>
      </c>
      <c r="CA29" s="17">
        <f t="shared" si="35"/>
        <v>0.5938424769295384</v>
      </c>
      <c r="CB29" s="17">
        <f t="shared" si="35"/>
        <v>0.6716966013244571</v>
      </c>
      <c r="CC29" s="17">
        <f t="shared" si="35"/>
        <v>0.7222808316933135</v>
      </c>
      <c r="CD29" s="17">
        <f t="shared" si="35"/>
        <v>0.7263691708249213</v>
      </c>
      <c r="CE29" s="17">
        <f t="shared" si="35"/>
        <v>0.7911161276933331</v>
      </c>
      <c r="CF29" s="17">
        <f t="shared" si="35"/>
        <v>0.8052621369563717</v>
      </c>
      <c r="CG29" s="17">
        <f t="shared" si="35"/>
        <v>0.7856971985592233</v>
      </c>
      <c r="CH29" s="17">
        <f t="shared" si="35"/>
        <v>0.6773300067655037</v>
      </c>
      <c r="CI29" s="17">
        <f t="shared" si="35"/>
        <v>0.7321425165230071</v>
      </c>
      <c r="CJ29" s="17">
        <f t="shared" si="35"/>
        <v>0.7360823867603592</v>
      </c>
      <c r="CK29" s="17">
        <f t="shared" si="35"/>
        <v>0.705264470917321</v>
      </c>
      <c r="CL29" s="17">
        <f t="shared" si="35"/>
        <v>0.6575593844922845</v>
      </c>
      <c r="CM29" s="17">
        <f t="shared" si="35"/>
        <v>0.7060794066966669</v>
      </c>
      <c r="CN29" s="17">
        <f t="shared" si="35"/>
        <v>0.7191414351040444</v>
      </c>
      <c r="CO29" s="17">
        <f t="shared" si="35"/>
        <v>0.7261966711474178</v>
      </c>
      <c r="CP29" s="17">
        <f t="shared" si="35"/>
        <v>0.6932162303685998</v>
      </c>
      <c r="CQ29" s="17">
        <f t="shared" si="35"/>
        <v>0.7344911809310604</v>
      </c>
      <c r="CR29" s="17">
        <f t="shared" si="35"/>
        <v>0.7658760111795945</v>
      </c>
      <c r="CS29" s="17">
        <f t="shared" si="35"/>
        <v>0.8262129638965253</v>
      </c>
      <c r="CT29" s="17">
        <f t="shared" si="35"/>
        <v>0.7249222694017925</v>
      </c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</row>
    <row r="30" spans="1:112" s="23" customFormat="1" ht="15" customHeight="1">
      <c r="A30" s="22" t="s">
        <v>34</v>
      </c>
      <c r="B30" s="17">
        <v>0.6838971229170232</v>
      </c>
      <c r="C30" s="17">
        <v>0.6818300289574258</v>
      </c>
      <c r="D30" s="17">
        <v>0.6899199378342153</v>
      </c>
      <c r="E30" s="17">
        <v>0.6974587625333887</v>
      </c>
      <c r="F30" s="17">
        <v>0.6952143299256165</v>
      </c>
      <c r="G30" s="17">
        <v>0.6920155466385933</v>
      </c>
      <c r="H30" s="17">
        <v>0.6970498900891129</v>
      </c>
      <c r="I30" s="17">
        <v>0.6967952871280935</v>
      </c>
      <c r="J30" s="17">
        <v>0.7016393993034348</v>
      </c>
      <c r="K30" s="17">
        <v>0.7010364428781135</v>
      </c>
      <c r="L30" s="17">
        <v>0.6962834057122452</v>
      </c>
      <c r="M30" s="17">
        <v>0.6998884868838133</v>
      </c>
      <c r="N30" s="17">
        <v>0.6959943905235438</v>
      </c>
      <c r="O30" s="17">
        <v>0.7028922991079799</v>
      </c>
      <c r="P30" s="17">
        <v>0.6980243384213642</v>
      </c>
      <c r="Q30" s="17">
        <v>0.6920388192729877</v>
      </c>
      <c r="R30" s="17">
        <v>0.6869932576615676</v>
      </c>
      <c r="S30" s="17">
        <v>0.6903307943866576</v>
      </c>
      <c r="T30" s="17">
        <v>0.6876420091090479</v>
      </c>
      <c r="U30" s="17">
        <v>0.6870730987454601</v>
      </c>
      <c r="V30" s="17">
        <v>0.6829777695678627</v>
      </c>
      <c r="W30" s="17">
        <v>0.681604120808543</v>
      </c>
      <c r="X30" s="17">
        <v>0.693095225348108</v>
      </c>
      <c r="Y30" s="17">
        <v>0.6909609258337004</v>
      </c>
      <c r="Z30" s="17">
        <v>0.6878501345195797</v>
      </c>
      <c r="AA30" s="17">
        <v>0.6844876345932952</v>
      </c>
      <c r="AB30" s="17">
        <v>0.6831575588799829</v>
      </c>
      <c r="AC30" s="17">
        <v>0.6864172044823508</v>
      </c>
      <c r="AD30" s="17">
        <v>0.6824542640643955</v>
      </c>
      <c r="AE30" s="17">
        <v>0.6767116177715836</v>
      </c>
      <c r="AF30" s="17">
        <v>0.6750579925862474</v>
      </c>
      <c r="AG30" s="17">
        <v>0.6777189174762782</v>
      </c>
      <c r="AH30" s="17">
        <v>0.6771943723472685</v>
      </c>
      <c r="AI30" s="17">
        <v>0.6798525532728639</v>
      </c>
      <c r="AJ30" s="17">
        <v>0.6787210366300509</v>
      </c>
      <c r="AK30" s="17">
        <v>0.6806705454913698</v>
      </c>
      <c r="AL30" s="17">
        <v>0.6841779860423721</v>
      </c>
      <c r="AM30" s="17">
        <v>0.684789727375905</v>
      </c>
      <c r="AN30" s="17">
        <v>0.6880108403653046</v>
      </c>
      <c r="AO30" s="17">
        <v>0.690925322010945</v>
      </c>
      <c r="AP30" s="17">
        <v>0.6955186438204483</v>
      </c>
      <c r="AQ30" s="17">
        <v>0.7020277489769053</v>
      </c>
      <c r="AR30" s="17">
        <v>0.7013205520953574</v>
      </c>
      <c r="AS30" s="17">
        <v>0.6997599332453666</v>
      </c>
      <c r="AT30" s="17">
        <v>0.704132527810044</v>
      </c>
      <c r="AU30" s="17">
        <v>0.7056042383771952</v>
      </c>
      <c r="AV30" s="17">
        <v>0.7083130740039011</v>
      </c>
      <c r="AW30" s="17">
        <v>0.7078908088371451</v>
      </c>
      <c r="AX30" s="17">
        <v>0.7059149274342431</v>
      </c>
      <c r="AY30" s="17">
        <v>0.7077145778371075</v>
      </c>
      <c r="AZ30" s="17">
        <v>0.7083221159886229</v>
      </c>
      <c r="BA30" s="17">
        <v>0.7027370077294849</v>
      </c>
      <c r="BB30" s="17">
        <v>0.7056087123573254</v>
      </c>
      <c r="BC30" s="17">
        <v>0.7103140681242917</v>
      </c>
      <c r="BD30" s="17">
        <v>0.715415848369844</v>
      </c>
      <c r="BE30" s="17">
        <v>0.7210864542422151</v>
      </c>
      <c r="BF30" s="17">
        <v>0.7243322824187876</v>
      </c>
      <c r="BG30" s="17">
        <v>0.7328160968626558</v>
      </c>
      <c r="BH30" s="17">
        <v>0.7313931597446014</v>
      </c>
      <c r="BI30" s="17">
        <v>0.7314657971337456</v>
      </c>
      <c r="BJ30" s="17">
        <v>0.7364869604764032</v>
      </c>
      <c r="BK30" s="17">
        <v>0.734682067930958</v>
      </c>
      <c r="BL30" s="17">
        <v>0.7353680953623356</v>
      </c>
      <c r="BM30" s="17">
        <v>0.7422084133520912</v>
      </c>
      <c r="BN30" s="17">
        <v>0.7455341449586447</v>
      </c>
      <c r="BO30" s="17">
        <v>0.7460142219234813</v>
      </c>
      <c r="BP30" s="17">
        <v>0.7470693704363668</v>
      </c>
      <c r="BQ30" s="17">
        <v>0.7462854867068426</v>
      </c>
      <c r="BR30" s="17">
        <v>0.7434498551647862</v>
      </c>
      <c r="BS30" s="17">
        <v>0.7420775263506267</v>
      </c>
      <c r="BT30" s="17">
        <v>0.7418803521118085</v>
      </c>
      <c r="BU30" s="17">
        <v>0.7448450726187715</v>
      </c>
      <c r="BV30" s="17">
        <v>0.7502626656414904</v>
      </c>
      <c r="BW30" s="17">
        <v>0.7570656109462889</v>
      </c>
      <c r="BX30" s="17">
        <v>0.7528458615210842</v>
      </c>
      <c r="BY30" s="17">
        <v>0.7439546263448575</v>
      </c>
      <c r="BZ30" s="17">
        <v>0.729744593807332</v>
      </c>
      <c r="CA30" s="17">
        <v>0.7173343884887342</v>
      </c>
      <c r="CB30" s="17">
        <v>0.710842909290492</v>
      </c>
      <c r="CC30" s="17">
        <v>0.7096467581163419</v>
      </c>
      <c r="CD30" s="17">
        <v>0.7097189610566187</v>
      </c>
      <c r="CE30" s="17">
        <v>0.7104492574778317</v>
      </c>
      <c r="CF30" s="17">
        <v>0.7150842332894852</v>
      </c>
      <c r="CG30" s="17">
        <v>0.7153556974653256</v>
      </c>
      <c r="CH30" s="17">
        <v>0.7065395371101515</v>
      </c>
      <c r="CI30" s="17">
        <v>0.6990810089938625</v>
      </c>
      <c r="CJ30" s="17">
        <v>0.7025717330658174</v>
      </c>
      <c r="CK30" s="17">
        <v>0.7097038112003812</v>
      </c>
      <c r="CL30" s="17">
        <v>0.7156243378118424</v>
      </c>
      <c r="CM30" s="17">
        <v>0.7255274200697708</v>
      </c>
      <c r="CN30" s="17">
        <v>0.7298802196337767</v>
      </c>
      <c r="CO30" s="17">
        <v>0.7302100359265835</v>
      </c>
      <c r="CP30" s="17">
        <v>0.7270507353236</v>
      </c>
      <c r="CQ30" s="17">
        <v>0.7221590274664466</v>
      </c>
      <c r="CR30" s="17">
        <v>0.7196671274182088</v>
      </c>
      <c r="CS30" s="17">
        <v>0.7232868525102091</v>
      </c>
      <c r="CT30" s="17">
        <v>0.7267701921690877</v>
      </c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</row>
    <row r="31" spans="1:112" ht="15" customHeight="1">
      <c r="A31" s="9" t="s">
        <v>36</v>
      </c>
      <c r="B31" s="5">
        <v>575294</v>
      </c>
      <c r="C31" s="5">
        <v>555715</v>
      </c>
      <c r="D31" s="5">
        <v>582035</v>
      </c>
      <c r="E31" s="5">
        <v>583864</v>
      </c>
      <c r="F31" s="5">
        <v>585073</v>
      </c>
      <c r="G31" s="5">
        <v>587452</v>
      </c>
      <c r="H31" s="5">
        <v>588883</v>
      </c>
      <c r="I31" s="5">
        <v>590875</v>
      </c>
      <c r="J31" s="5">
        <v>590252</v>
      </c>
      <c r="K31" s="5">
        <v>594225</v>
      </c>
      <c r="L31" s="5">
        <v>593947</v>
      </c>
      <c r="M31" s="5">
        <v>597382</v>
      </c>
      <c r="N31" s="5">
        <v>596168</v>
      </c>
      <c r="O31" s="5">
        <v>597577</v>
      </c>
      <c r="P31" s="5">
        <v>599683</v>
      </c>
      <c r="Q31" s="5">
        <v>602241</v>
      </c>
      <c r="R31" s="5">
        <v>606952</v>
      </c>
      <c r="S31" s="5">
        <v>605470</v>
      </c>
      <c r="T31" s="5">
        <v>611374</v>
      </c>
      <c r="U31" s="5">
        <v>610393</v>
      </c>
      <c r="V31" s="5">
        <v>633370</v>
      </c>
      <c r="W31" s="5">
        <v>635495</v>
      </c>
      <c r="X31" s="5">
        <v>634993</v>
      </c>
      <c r="Y31" s="5">
        <v>633894</v>
      </c>
      <c r="Z31" s="5">
        <v>639916</v>
      </c>
      <c r="AA31" s="5">
        <v>633889</v>
      </c>
      <c r="AB31" s="5">
        <v>626269</v>
      </c>
      <c r="AC31" s="5">
        <v>634675</v>
      </c>
      <c r="AD31" s="5">
        <v>633489</v>
      </c>
      <c r="AE31" s="5">
        <v>634537</v>
      </c>
      <c r="AF31" s="5">
        <v>636393</v>
      </c>
      <c r="AG31" s="5">
        <v>637591</v>
      </c>
      <c r="AH31" s="5">
        <v>638039</v>
      </c>
      <c r="AI31" s="5">
        <v>660876</v>
      </c>
      <c r="AJ31" s="5">
        <v>640867</v>
      </c>
      <c r="AK31" s="5">
        <v>642666</v>
      </c>
      <c r="AL31" s="5">
        <v>641140</v>
      </c>
      <c r="AM31" s="5">
        <v>641274</v>
      </c>
      <c r="AN31" s="5">
        <v>646803</v>
      </c>
      <c r="AO31" s="5">
        <v>645761</v>
      </c>
      <c r="AP31" s="5">
        <v>631621</v>
      </c>
      <c r="AQ31" s="5">
        <v>638458</v>
      </c>
      <c r="AR31" s="5">
        <v>643499</v>
      </c>
      <c r="AS31" s="5">
        <v>650027</v>
      </c>
      <c r="AT31" s="5">
        <v>650170</v>
      </c>
      <c r="AU31" s="5">
        <v>667791</v>
      </c>
      <c r="AV31" s="5">
        <v>676202</v>
      </c>
      <c r="AW31" s="5">
        <v>691728</v>
      </c>
      <c r="AX31" s="5">
        <v>701080</v>
      </c>
      <c r="AY31" s="5">
        <v>712810</v>
      </c>
      <c r="AZ31" s="5">
        <v>718040</v>
      </c>
      <c r="BA31" s="5">
        <v>734921</v>
      </c>
      <c r="BB31" s="5">
        <v>747555</v>
      </c>
      <c r="BC31" s="5">
        <v>757278</v>
      </c>
      <c r="BD31" s="5">
        <v>765753</v>
      </c>
      <c r="BE31" s="5">
        <v>776878</v>
      </c>
      <c r="BF31" s="5">
        <v>784594</v>
      </c>
      <c r="BG31" s="5">
        <v>796358</v>
      </c>
      <c r="BH31" s="5">
        <v>801660</v>
      </c>
      <c r="BI31" s="5">
        <v>807383</v>
      </c>
      <c r="BJ31" s="5">
        <v>809309</v>
      </c>
      <c r="BK31" s="5">
        <v>811277</v>
      </c>
      <c r="BL31" s="5">
        <v>823060</v>
      </c>
      <c r="BM31" s="5">
        <v>823858</v>
      </c>
      <c r="BN31" s="5">
        <v>828478</v>
      </c>
      <c r="BO31" s="5">
        <v>832583</v>
      </c>
      <c r="BP31" s="5">
        <v>841428</v>
      </c>
      <c r="BQ31" s="5">
        <v>842929</v>
      </c>
      <c r="BR31" s="5">
        <v>840967</v>
      </c>
      <c r="BS31" s="5">
        <v>846263</v>
      </c>
      <c r="BT31" s="5">
        <v>853729</v>
      </c>
      <c r="BU31" s="5">
        <v>858696</v>
      </c>
      <c r="BV31" s="5">
        <v>850838</v>
      </c>
      <c r="BW31" s="5">
        <v>868024</v>
      </c>
      <c r="BX31" s="5">
        <v>861671</v>
      </c>
      <c r="BY31" s="5">
        <v>855907</v>
      </c>
      <c r="BZ31" s="5">
        <v>858747</v>
      </c>
      <c r="CA31" s="5">
        <v>857111</v>
      </c>
      <c r="CB31" s="5">
        <v>867401</v>
      </c>
      <c r="CC31" s="5">
        <v>867107</v>
      </c>
      <c r="CD31" s="5">
        <v>871619</v>
      </c>
      <c r="CE31" s="5">
        <v>873301</v>
      </c>
      <c r="CF31" s="5">
        <v>872593</v>
      </c>
      <c r="CG31" s="5">
        <v>873972</v>
      </c>
      <c r="CH31" s="5">
        <v>869367</v>
      </c>
      <c r="CI31" s="5">
        <v>866295</v>
      </c>
      <c r="CJ31" s="5">
        <v>875613</v>
      </c>
      <c r="CK31" s="5">
        <v>877201</v>
      </c>
      <c r="CL31" s="5">
        <v>881830</v>
      </c>
      <c r="CM31" s="5">
        <v>885456</v>
      </c>
      <c r="CN31" s="5">
        <v>887181</v>
      </c>
      <c r="CO31" s="5">
        <v>889618</v>
      </c>
      <c r="CP31" s="5">
        <v>893234</v>
      </c>
      <c r="CQ31" s="8">
        <v>895062</v>
      </c>
      <c r="CR31" s="5">
        <v>898501</v>
      </c>
      <c r="CS31" s="5">
        <v>900995</v>
      </c>
      <c r="CT31" s="5">
        <v>896026</v>
      </c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s="6" customFormat="1" ht="15" customHeight="1" outlineLevel="1">
      <c r="A32" s="9" t="s">
        <v>30</v>
      </c>
      <c r="B32" s="5">
        <v>104905</v>
      </c>
      <c r="C32" s="5">
        <v>109865</v>
      </c>
      <c r="D32" s="5">
        <v>116433</v>
      </c>
      <c r="E32" s="5">
        <v>122684</v>
      </c>
      <c r="F32" s="5">
        <v>128050</v>
      </c>
      <c r="G32" s="5">
        <v>135902</v>
      </c>
      <c r="H32" s="5">
        <v>141735</v>
      </c>
      <c r="I32" s="5">
        <v>147737</v>
      </c>
      <c r="J32" s="5">
        <v>149796</v>
      </c>
      <c r="K32" s="5">
        <v>143254</v>
      </c>
      <c r="L32" s="5">
        <v>145095</v>
      </c>
      <c r="M32" s="5">
        <v>148438</v>
      </c>
      <c r="N32" s="5">
        <v>149923</v>
      </c>
      <c r="O32" s="5">
        <v>151508</v>
      </c>
      <c r="P32" s="5">
        <v>154469</v>
      </c>
      <c r="Q32" s="5">
        <v>157023</v>
      </c>
      <c r="R32" s="5">
        <v>159261</v>
      </c>
      <c r="S32" s="5">
        <v>159054</v>
      </c>
      <c r="T32" s="5">
        <v>162555</v>
      </c>
      <c r="U32" s="5">
        <v>160385</v>
      </c>
      <c r="V32" s="5">
        <v>162041</v>
      </c>
      <c r="W32" s="5">
        <v>162707</v>
      </c>
      <c r="X32" s="5">
        <v>163448</v>
      </c>
      <c r="Y32" s="5">
        <v>164227</v>
      </c>
      <c r="Z32" s="5">
        <v>192050</v>
      </c>
      <c r="AA32" s="5">
        <v>192607</v>
      </c>
      <c r="AB32" s="5">
        <v>193909</v>
      </c>
      <c r="AC32" s="5">
        <v>195766</v>
      </c>
      <c r="AD32" s="5">
        <v>195266</v>
      </c>
      <c r="AE32" s="5">
        <v>213578</v>
      </c>
      <c r="AF32" s="5">
        <v>206778</v>
      </c>
      <c r="AG32" s="5">
        <v>209572</v>
      </c>
      <c r="AH32" s="5">
        <v>211353</v>
      </c>
      <c r="AI32" s="5">
        <v>213090</v>
      </c>
      <c r="AJ32" s="5">
        <v>214813</v>
      </c>
      <c r="AK32" s="5">
        <v>217168</v>
      </c>
      <c r="AL32" s="5">
        <v>223138</v>
      </c>
      <c r="AM32" s="5">
        <v>229650</v>
      </c>
      <c r="AN32" s="5">
        <v>234705</v>
      </c>
      <c r="AO32" s="5">
        <v>239915</v>
      </c>
      <c r="AP32" s="5">
        <v>246485</v>
      </c>
      <c r="AQ32" s="5">
        <v>254257</v>
      </c>
      <c r="AR32" s="5">
        <v>263957</v>
      </c>
      <c r="AS32" s="5">
        <v>279638</v>
      </c>
      <c r="AT32" s="5">
        <v>285981</v>
      </c>
      <c r="AU32" s="5">
        <v>313170</v>
      </c>
      <c r="AV32" s="5">
        <v>334347</v>
      </c>
      <c r="AW32" s="5">
        <v>349347</v>
      </c>
      <c r="AX32" s="5">
        <v>372223</v>
      </c>
      <c r="AY32" s="5">
        <v>393508</v>
      </c>
      <c r="AZ32" s="5">
        <v>414814</v>
      </c>
      <c r="BA32" s="5">
        <v>437099</v>
      </c>
      <c r="BB32" s="5">
        <v>455749</v>
      </c>
      <c r="BC32" s="5">
        <v>467672</v>
      </c>
      <c r="BD32" s="5">
        <v>479964</v>
      </c>
      <c r="BE32" s="5">
        <v>492471</v>
      </c>
      <c r="BF32" s="5">
        <v>507530</v>
      </c>
      <c r="BG32" s="5">
        <v>505762</v>
      </c>
      <c r="BH32" s="5">
        <v>513881</v>
      </c>
      <c r="BI32" s="5">
        <v>519062</v>
      </c>
      <c r="BJ32" s="5">
        <v>522885</v>
      </c>
      <c r="BK32" s="5">
        <v>527785</v>
      </c>
      <c r="BL32" s="5">
        <v>535808</v>
      </c>
      <c r="BM32" s="5">
        <v>539983</v>
      </c>
      <c r="BN32" s="5">
        <v>545617</v>
      </c>
      <c r="BO32" s="5">
        <v>551146</v>
      </c>
      <c r="BP32" s="5">
        <v>555028</v>
      </c>
      <c r="BQ32" s="5">
        <v>560282</v>
      </c>
      <c r="BR32" s="5">
        <v>566107</v>
      </c>
      <c r="BS32" s="5">
        <v>573799</v>
      </c>
      <c r="BT32" s="5">
        <v>577934</v>
      </c>
      <c r="BU32" s="5">
        <v>583568</v>
      </c>
      <c r="BV32" s="5">
        <v>591941</v>
      </c>
      <c r="BW32" s="5">
        <v>593475</v>
      </c>
      <c r="BX32" s="5">
        <v>599510</v>
      </c>
      <c r="BY32" s="5">
        <v>601033</v>
      </c>
      <c r="BZ32" s="5">
        <v>603626</v>
      </c>
      <c r="CA32" s="5">
        <v>607088</v>
      </c>
      <c r="CB32" s="5">
        <v>612541</v>
      </c>
      <c r="CC32" s="5">
        <v>621847</v>
      </c>
      <c r="CD32" s="5">
        <v>629089</v>
      </c>
      <c r="CE32" s="5">
        <v>635669</v>
      </c>
      <c r="CF32" s="5">
        <v>638414</v>
      </c>
      <c r="CG32" s="5">
        <v>637803</v>
      </c>
      <c r="CH32" s="5">
        <v>641376</v>
      </c>
      <c r="CI32" s="5">
        <v>644720</v>
      </c>
      <c r="CJ32" s="5">
        <v>648153</v>
      </c>
      <c r="CK32" s="5">
        <v>653577</v>
      </c>
      <c r="CL32" s="5">
        <v>657629</v>
      </c>
      <c r="CM32" s="5">
        <v>662776</v>
      </c>
      <c r="CN32" s="5">
        <v>666120</v>
      </c>
      <c r="CO32" s="5">
        <v>669608</v>
      </c>
      <c r="CP32" s="5">
        <v>672487</v>
      </c>
      <c r="CQ32" s="8">
        <v>677611</v>
      </c>
      <c r="CR32" s="5">
        <v>681409</v>
      </c>
      <c r="CS32" s="5">
        <v>683462</v>
      </c>
      <c r="CT32" s="5">
        <v>687158</v>
      </c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s="6" customFormat="1" ht="15" customHeight="1" outlineLevel="1">
      <c r="A33" s="9" t="s">
        <v>24</v>
      </c>
      <c r="B33" s="8" t="s">
        <v>29</v>
      </c>
      <c r="C33" s="8" t="s">
        <v>29</v>
      </c>
      <c r="D33" s="8" t="s">
        <v>29</v>
      </c>
      <c r="E33" s="8" t="s">
        <v>29</v>
      </c>
      <c r="F33" s="8" t="s">
        <v>29</v>
      </c>
      <c r="G33" s="8" t="s">
        <v>29</v>
      </c>
      <c r="H33" s="8" t="s">
        <v>29</v>
      </c>
      <c r="I33" s="8" t="s">
        <v>29</v>
      </c>
      <c r="J33" s="8" t="s">
        <v>29</v>
      </c>
      <c r="K33" s="8" t="s">
        <v>29</v>
      </c>
      <c r="L33" s="8" t="s">
        <v>29</v>
      </c>
      <c r="M33" s="8" t="s">
        <v>29</v>
      </c>
      <c r="N33" s="8" t="s">
        <v>29</v>
      </c>
      <c r="O33" s="8" t="s">
        <v>29</v>
      </c>
      <c r="P33" s="8" t="s">
        <v>29</v>
      </c>
      <c r="Q33" s="8" t="s">
        <v>29</v>
      </c>
      <c r="R33" s="8" t="s">
        <v>29</v>
      </c>
      <c r="S33" s="8" t="s">
        <v>29</v>
      </c>
      <c r="T33" s="8" t="s">
        <v>29</v>
      </c>
      <c r="U33" s="8" t="s">
        <v>29</v>
      </c>
      <c r="V33" s="5">
        <v>18448</v>
      </c>
      <c r="W33" s="5">
        <v>18080</v>
      </c>
      <c r="X33" s="5">
        <v>17880</v>
      </c>
      <c r="Y33" s="5">
        <v>17948</v>
      </c>
      <c r="Z33" s="5">
        <v>17523</v>
      </c>
      <c r="AA33" s="5">
        <v>17900</v>
      </c>
      <c r="AB33" s="5">
        <v>18432</v>
      </c>
      <c r="AC33" s="5">
        <v>18431</v>
      </c>
      <c r="AD33" s="5">
        <v>18066</v>
      </c>
      <c r="AE33" s="5">
        <v>18133</v>
      </c>
      <c r="AF33" s="5">
        <v>18136</v>
      </c>
      <c r="AG33" s="5">
        <v>18101</v>
      </c>
      <c r="AH33" s="5">
        <v>18089</v>
      </c>
      <c r="AI33" s="5">
        <v>18037</v>
      </c>
      <c r="AJ33" s="5">
        <v>17774</v>
      </c>
      <c r="AK33" s="5">
        <v>17784</v>
      </c>
      <c r="AL33" s="5">
        <v>17624</v>
      </c>
      <c r="AM33" s="5">
        <v>17433</v>
      </c>
      <c r="AN33" s="5">
        <v>17875</v>
      </c>
      <c r="AO33" s="5">
        <v>17843</v>
      </c>
      <c r="AP33" s="5">
        <v>18002</v>
      </c>
      <c r="AQ33" s="5">
        <v>18180</v>
      </c>
      <c r="AR33" s="5">
        <v>18430</v>
      </c>
      <c r="AS33" s="5">
        <v>19259</v>
      </c>
      <c r="AT33" s="5">
        <v>19827</v>
      </c>
      <c r="AU33" s="5">
        <v>20419</v>
      </c>
      <c r="AV33" s="5">
        <v>20555</v>
      </c>
      <c r="AW33" s="5">
        <v>26455</v>
      </c>
      <c r="AX33" s="5">
        <v>29838</v>
      </c>
      <c r="AY33" s="5">
        <v>30465</v>
      </c>
      <c r="AZ33" s="5">
        <v>35367</v>
      </c>
      <c r="BA33" s="5">
        <v>43300</v>
      </c>
      <c r="BB33" s="5">
        <v>53507</v>
      </c>
      <c r="BC33" s="5">
        <v>59365</v>
      </c>
      <c r="BD33" s="5">
        <v>64054</v>
      </c>
      <c r="BE33" s="5">
        <v>67938</v>
      </c>
      <c r="BF33" s="5">
        <v>70966</v>
      </c>
      <c r="BG33" s="5">
        <v>78428</v>
      </c>
      <c r="BH33" s="5">
        <v>82433</v>
      </c>
      <c r="BI33" s="5">
        <v>85590</v>
      </c>
      <c r="BJ33" s="5">
        <v>86123</v>
      </c>
      <c r="BK33" s="5">
        <v>87529</v>
      </c>
      <c r="BL33" s="5">
        <v>90795</v>
      </c>
      <c r="BM33" s="5">
        <v>93224</v>
      </c>
      <c r="BN33" s="5">
        <v>96322</v>
      </c>
      <c r="BO33" s="5">
        <v>98958</v>
      </c>
      <c r="BP33" s="5">
        <v>100945</v>
      </c>
      <c r="BQ33" s="5">
        <v>102810</v>
      </c>
      <c r="BR33" s="5">
        <v>104272</v>
      </c>
      <c r="BS33" s="5">
        <v>107095</v>
      </c>
      <c r="BT33" s="5">
        <v>108649</v>
      </c>
      <c r="BU33" s="5">
        <v>112418</v>
      </c>
      <c r="BV33" s="5">
        <v>113001</v>
      </c>
      <c r="BW33" s="5">
        <v>115976</v>
      </c>
      <c r="BX33" s="5">
        <v>111515</v>
      </c>
      <c r="BY33" s="5">
        <v>605</v>
      </c>
      <c r="BZ33" s="5">
        <v>3916</v>
      </c>
      <c r="CA33" s="5">
        <v>4474</v>
      </c>
      <c r="CB33" s="5">
        <v>117195</v>
      </c>
      <c r="CC33" s="5">
        <v>119543</v>
      </c>
      <c r="CD33" s="5">
        <v>122655</v>
      </c>
      <c r="CE33" s="5">
        <v>126074</v>
      </c>
      <c r="CF33" s="5">
        <v>124635</v>
      </c>
      <c r="CG33" s="5">
        <v>126775</v>
      </c>
      <c r="CH33" s="5">
        <v>125712</v>
      </c>
      <c r="CI33" s="5">
        <v>126856</v>
      </c>
      <c r="CJ33" s="5">
        <v>129226</v>
      </c>
      <c r="CK33" s="5">
        <v>129885</v>
      </c>
      <c r="CL33" s="5">
        <v>133083</v>
      </c>
      <c r="CM33" s="5">
        <v>132998</v>
      </c>
      <c r="CN33" s="5">
        <v>135845</v>
      </c>
      <c r="CO33" s="5">
        <v>136698</v>
      </c>
      <c r="CP33" s="5">
        <v>137385</v>
      </c>
      <c r="CQ33" s="8">
        <v>137462</v>
      </c>
      <c r="CR33" s="5">
        <v>137001</v>
      </c>
      <c r="CS33" s="5">
        <v>137714</v>
      </c>
      <c r="CT33" s="5">
        <v>137694</v>
      </c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s="6" customFormat="1" ht="15" customHeight="1" outlineLevel="1">
      <c r="A34" s="9" t="s">
        <v>35</v>
      </c>
      <c r="B34" s="20">
        <v>125.76299385660553</v>
      </c>
      <c r="C34" s="20">
        <v>123.38118818511009</v>
      </c>
      <c r="D34" s="20">
        <v>128.63980831010446</v>
      </c>
      <c r="E34" s="20">
        <v>127.72432369718607</v>
      </c>
      <c r="F34" s="20">
        <v>133.74436602669218</v>
      </c>
      <c r="G34" s="20">
        <v>131.04967675376673</v>
      </c>
      <c r="H34" s="20">
        <v>137.90620663261063</v>
      </c>
      <c r="I34" s="20">
        <v>134.044924429051</v>
      </c>
      <c r="J34" s="20">
        <v>104.95388891574196</v>
      </c>
      <c r="K34" s="20">
        <v>131.23157377793368</v>
      </c>
      <c r="L34" s="20">
        <v>125.785234428633</v>
      </c>
      <c r="M34" s="20">
        <v>122.55739022645486</v>
      </c>
      <c r="N34" s="20">
        <v>115.59155905055883</v>
      </c>
      <c r="O34" s="20">
        <v>108.50111138244509</v>
      </c>
      <c r="P34" s="20">
        <v>120.17426054621313</v>
      </c>
      <c r="Q34" s="20">
        <v>116.58665588867068</v>
      </c>
      <c r="R34" s="20">
        <v>136.3135369570113</v>
      </c>
      <c r="S34" s="20">
        <v>113.29463731436363</v>
      </c>
      <c r="T34" s="20">
        <v>121.73788662029247</v>
      </c>
      <c r="U34" s="20">
        <v>113.1460828734179</v>
      </c>
      <c r="V34" s="20">
        <v>106.15687915047512</v>
      </c>
      <c r="W34" s="20">
        <v>119.72759643897076</v>
      </c>
      <c r="X34" s="20">
        <v>116.69128257114865</v>
      </c>
      <c r="Y34" s="20">
        <v>109.2792512862533</v>
      </c>
      <c r="Z34" s="20">
        <v>89.01789275977406</v>
      </c>
      <c r="AA34" s="20">
        <v>85.3386381229898</v>
      </c>
      <c r="AB34" s="20">
        <v>92.90869059495775</v>
      </c>
      <c r="AC34" s="20">
        <v>99.6389360537282</v>
      </c>
      <c r="AD34" s="20">
        <v>37.546819770800674</v>
      </c>
      <c r="AE34" s="20">
        <v>71.18436357472464</v>
      </c>
      <c r="AF34" s="20">
        <v>90.08098255596089</v>
      </c>
      <c r="AG34" s="20">
        <v>83.44790608761798</v>
      </c>
      <c r="AH34" s="20">
        <v>77.93473731734527</v>
      </c>
      <c r="AI34" s="20">
        <v>74.58589184004077</v>
      </c>
      <c r="AJ34" s="20">
        <v>72.7696317490228</v>
      </c>
      <c r="AK34" s="20">
        <v>74.52575297893529</v>
      </c>
      <c r="AL34" s="20">
        <v>79.05449464304013</v>
      </c>
      <c r="AM34" s="20">
        <v>78.0029009177396</v>
      </c>
      <c r="AN34" s="20">
        <v>92.81359737279921</v>
      </c>
      <c r="AO34" s="20">
        <v>83.87140212950291</v>
      </c>
      <c r="AP34" s="20">
        <v>87.19901095835762</v>
      </c>
      <c r="AQ34" s="20">
        <v>84.42</v>
      </c>
      <c r="AR34" s="20">
        <v>84.15</v>
      </c>
      <c r="AS34" s="20">
        <v>79.91</v>
      </c>
      <c r="AT34" s="20">
        <v>74.6</v>
      </c>
      <c r="AU34" s="20">
        <v>79.22</v>
      </c>
      <c r="AV34" s="20">
        <v>77.73</v>
      </c>
      <c r="AW34" s="20">
        <v>81.63</v>
      </c>
      <c r="AX34" s="20">
        <v>72.98</v>
      </c>
      <c r="AY34" s="20">
        <v>67.85</v>
      </c>
      <c r="AZ34" s="20">
        <v>78.07</v>
      </c>
      <c r="BA34" s="20">
        <v>78.29</v>
      </c>
      <c r="BB34" s="20">
        <v>80.82</v>
      </c>
      <c r="BC34" s="20">
        <v>80.58</v>
      </c>
      <c r="BD34" s="20">
        <v>75.47</v>
      </c>
      <c r="BE34" s="20">
        <v>71.71</v>
      </c>
      <c r="BF34" s="20">
        <v>83.42</v>
      </c>
      <c r="BG34" s="20">
        <v>72.46</v>
      </c>
      <c r="BH34" s="20">
        <v>77.24</v>
      </c>
      <c r="BI34" s="20">
        <v>62.19</v>
      </c>
      <c r="BJ34" s="20">
        <v>56.868497108113175</v>
      </c>
      <c r="BK34" s="20">
        <v>58.24264599600769</v>
      </c>
      <c r="BL34" s="20">
        <v>64.86072001053103</v>
      </c>
      <c r="BM34" s="20">
        <v>63.21777063780028</v>
      </c>
      <c r="BN34" s="20">
        <v>73.90027821672746</v>
      </c>
      <c r="BO34" s="20">
        <v>73.11351251777555</v>
      </c>
      <c r="BP34" s="20">
        <v>67.07866732479667</v>
      </c>
      <c r="BQ34" s="20">
        <v>64.7819386196409</v>
      </c>
      <c r="BR34" s="20">
        <v>74.60284847922588</v>
      </c>
      <c r="BS34" s="20">
        <v>55.35739469916837</v>
      </c>
      <c r="BT34" s="20">
        <v>58.63003193478918</v>
      </c>
      <c r="BU34" s="20">
        <v>50.54769157796836</v>
      </c>
      <c r="BV34" s="20">
        <v>47.330997371051865</v>
      </c>
      <c r="BW34" s="20">
        <v>32.481713659238544</v>
      </c>
      <c r="BX34" s="20">
        <v>10.537258931493863</v>
      </c>
      <c r="BY34" s="20">
        <v>7.103206364191703</v>
      </c>
      <c r="BZ34" s="20">
        <v>16.8281540528291</v>
      </c>
      <c r="CA34" s="20">
        <v>28.06597578689445</v>
      </c>
      <c r="CB34" s="20">
        <v>23.4243304822854</v>
      </c>
      <c r="CC34" s="20">
        <v>48.07844633466858</v>
      </c>
      <c r="CD34" s="20">
        <v>35.86012721941636</v>
      </c>
      <c r="CE34" s="20">
        <v>10.664397677286585</v>
      </c>
      <c r="CF34" s="20">
        <v>8.430350664458917</v>
      </c>
      <c r="CG34" s="20">
        <v>6.269548978511791</v>
      </c>
      <c r="CH34" s="20">
        <v>6.739687317661946</v>
      </c>
      <c r="CI34" s="20">
        <v>9.52287524049773</v>
      </c>
      <c r="CJ34" s="20">
        <v>7.796920648058736</v>
      </c>
      <c r="CK34" s="20">
        <v>7.399315693165751</v>
      </c>
      <c r="CL34" s="20">
        <v>11.699410135432888</v>
      </c>
      <c r="CM34" s="20">
        <v>7.34746007338012</v>
      </c>
      <c r="CN34" s="20">
        <v>15.854227845976872</v>
      </c>
      <c r="CO34" s="20">
        <v>13.722355984826056</v>
      </c>
      <c r="CP34" s="20">
        <v>13.45947237283828</v>
      </c>
      <c r="CQ34" s="8">
        <v>8.9</v>
      </c>
      <c r="CR34" s="20">
        <v>9.008922386711001</v>
      </c>
      <c r="CS34" s="20">
        <v>8.687083553800969</v>
      </c>
      <c r="CT34" s="20">
        <v>7.386415158340059</v>
      </c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s="6" customFormat="1" ht="15" customHeight="1" outlineLevel="1">
      <c r="A35" s="9" t="s">
        <v>20</v>
      </c>
      <c r="B35" s="5">
        <v>34.64573928005587</v>
      </c>
      <c r="C35" s="5">
        <v>32.46263990868667</v>
      </c>
      <c r="D35" s="5">
        <v>34.95310965907167</v>
      </c>
      <c r="E35" s="5">
        <v>39.00180388002794</v>
      </c>
      <c r="F35" s="5">
        <v>42.66014726956309</v>
      </c>
      <c r="G35" s="5">
        <v>37.18457097947574</v>
      </c>
      <c r="H35" s="5">
        <v>42.2480739471188</v>
      </c>
      <c r="I35" s="5">
        <v>45.92315512688755</v>
      </c>
      <c r="J35" s="5">
        <v>31.383085326023163</v>
      </c>
      <c r="K35" s="5">
        <v>38.217559787879395</v>
      </c>
      <c r="L35" s="5">
        <v>37.63556592612073</v>
      </c>
      <c r="M35" s="5">
        <v>32.60640839417454</v>
      </c>
      <c r="N35" s="5">
        <v>33.89486446554858</v>
      </c>
      <c r="O35" s="5">
        <v>31.09837775265315</v>
      </c>
      <c r="P35" s="5">
        <v>33.644016674643886</v>
      </c>
      <c r="Q35" s="5">
        <v>32.574822743796545</v>
      </c>
      <c r="R35" s="5">
        <v>40.475503462575276</v>
      </c>
      <c r="S35" s="5">
        <v>34.56403872715611</v>
      </c>
      <c r="T35" s="5">
        <v>39.42077711696251</v>
      </c>
      <c r="U35" s="5">
        <v>40.044282101112685</v>
      </c>
      <c r="V35" s="5">
        <v>33.784944279704106</v>
      </c>
      <c r="W35" s="5">
        <v>40.22832646600338</v>
      </c>
      <c r="X35" s="5">
        <v>36.500631335040026</v>
      </c>
      <c r="Y35" s="5">
        <v>32.70080898504537</v>
      </c>
      <c r="Z35" s="5">
        <v>30.182341665145888</v>
      </c>
      <c r="AA35" s="5">
        <v>27.84055900140615</v>
      </c>
      <c r="AB35" s="5">
        <v>29.36581980742571</v>
      </c>
      <c r="AC35" s="5">
        <v>33.533897602109064</v>
      </c>
      <c r="AD35" s="5">
        <v>25.178733331761325</v>
      </c>
      <c r="AE35" s="5">
        <v>31.569498233594956</v>
      </c>
      <c r="AF35" s="5">
        <v>34.22450730722463</v>
      </c>
      <c r="AG35" s="5">
        <v>35.54227999657391</v>
      </c>
      <c r="AH35" s="5">
        <v>30.701509762430042</v>
      </c>
      <c r="AI35" s="5">
        <v>35.130642027299366</v>
      </c>
      <c r="AJ35" s="5">
        <v>30.012602139338455</v>
      </c>
      <c r="AK35" s="5">
        <v>27.083376362122326</v>
      </c>
      <c r="AL35" s="5">
        <v>27.788407298080564</v>
      </c>
      <c r="AM35" s="5">
        <v>27.66915090726537</v>
      </c>
      <c r="AN35" s="5">
        <v>33.36894062459535</v>
      </c>
      <c r="AO35" s="5">
        <v>32.22665258198077</v>
      </c>
      <c r="AP35" s="5">
        <v>32.44098707231728</v>
      </c>
      <c r="AQ35" s="5">
        <v>31.57</v>
      </c>
      <c r="AR35" s="5">
        <v>31.71</v>
      </c>
      <c r="AS35" s="5">
        <v>31.81</v>
      </c>
      <c r="AT35" s="5">
        <v>36.17</v>
      </c>
      <c r="AU35" s="5">
        <v>30.98</v>
      </c>
      <c r="AV35" s="5">
        <v>27.59</v>
      </c>
      <c r="AW35" s="5">
        <v>30.03</v>
      </c>
      <c r="AX35" s="5">
        <v>28.08</v>
      </c>
      <c r="AY35" s="5">
        <v>24.25</v>
      </c>
      <c r="AZ35" s="5">
        <v>27.83</v>
      </c>
      <c r="BA35" s="5">
        <v>29.07</v>
      </c>
      <c r="BB35" s="5">
        <v>31.19</v>
      </c>
      <c r="BC35" s="5">
        <v>28.83</v>
      </c>
      <c r="BD35" s="5">
        <v>28.11</v>
      </c>
      <c r="BE35" s="5">
        <v>26.66</v>
      </c>
      <c r="BF35" s="5">
        <v>32.27</v>
      </c>
      <c r="BG35" s="5">
        <v>24.74</v>
      </c>
      <c r="BH35" s="5">
        <v>28.56</v>
      </c>
      <c r="BI35" s="5">
        <v>21.01</v>
      </c>
      <c r="BJ35" s="5">
        <v>19.299801753391648</v>
      </c>
      <c r="BK35" s="5">
        <v>20.10205053218621</v>
      </c>
      <c r="BL35" s="5">
        <v>24.00975049451434</v>
      </c>
      <c r="BM35" s="5">
        <v>21.798531535200567</v>
      </c>
      <c r="BN35" s="5">
        <v>25.978873636586492</v>
      </c>
      <c r="BO35" s="5">
        <v>26.345099916100544</v>
      </c>
      <c r="BP35" s="5">
        <v>26.462078016936374</v>
      </c>
      <c r="BQ35" s="5">
        <v>24.388059209554275</v>
      </c>
      <c r="BR35" s="5">
        <v>29.673040827894255</v>
      </c>
      <c r="BS35" s="5">
        <v>19.629774759346713</v>
      </c>
      <c r="BT35" s="5">
        <v>19.23270603882639</v>
      </c>
      <c r="BU35" s="5">
        <v>19.165443536165732</v>
      </c>
      <c r="BV35" s="19">
        <v>17.835085595979887</v>
      </c>
      <c r="BW35" s="19">
        <v>16.175097796054313</v>
      </c>
      <c r="BX35" s="19">
        <v>9.712525980185557</v>
      </c>
      <c r="BY35" s="19">
        <v>12.278617204420508</v>
      </c>
      <c r="BZ35" s="19">
        <v>16.99055547766718</v>
      </c>
      <c r="CA35" s="19">
        <v>16.5386884524619</v>
      </c>
      <c r="CB35" s="19">
        <v>22.18103841460384</v>
      </c>
      <c r="CC35" s="19">
        <v>27.360541571193867</v>
      </c>
      <c r="CD35" s="19">
        <v>19.77415424829734</v>
      </c>
      <c r="CE35" s="19">
        <v>12.534784446646078</v>
      </c>
      <c r="CF35" s="19">
        <v>11.14662090657083</v>
      </c>
      <c r="CG35" s="19">
        <v>7.059144780527256</v>
      </c>
      <c r="CH35" s="19">
        <v>6.7686030256596155</v>
      </c>
      <c r="CI35" s="19">
        <v>9.834191038445233</v>
      </c>
      <c r="CJ35" s="8">
        <v>7.606745977003945</v>
      </c>
      <c r="CK35" s="20">
        <v>8.12543877222169</v>
      </c>
      <c r="CL35" s="20">
        <v>10.044678794193521</v>
      </c>
      <c r="CM35" s="20">
        <v>9.789671873016147</v>
      </c>
      <c r="CN35" s="8">
        <v>15.151248219992686</v>
      </c>
      <c r="CO35" s="8">
        <v>15.234953718603967</v>
      </c>
      <c r="CP35" s="8">
        <v>11.95235414234151</v>
      </c>
      <c r="CQ35" s="8">
        <v>9.3</v>
      </c>
      <c r="CR35" s="8">
        <v>7.569920791240442</v>
      </c>
      <c r="CS35" s="8">
        <v>8.16676541504419</v>
      </c>
      <c r="CT35" s="19">
        <v>7.151072490271636</v>
      </c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s="26" customFormat="1" ht="15" customHeight="1">
      <c r="A36" s="24" t="s">
        <v>21</v>
      </c>
      <c r="B36" s="25">
        <v>0.8246</v>
      </c>
      <c r="C36" s="25">
        <v>0.8132</v>
      </c>
      <c r="D36" s="25">
        <v>0.8218</v>
      </c>
      <c r="E36" s="25">
        <v>0.832</v>
      </c>
      <c r="F36" s="25">
        <v>0.8217</v>
      </c>
      <c r="G36" s="25">
        <v>0.8259</v>
      </c>
      <c r="H36" s="25">
        <v>0.8211</v>
      </c>
      <c r="I36" s="25">
        <v>0.8224</v>
      </c>
      <c r="J36" s="25">
        <v>0.825</v>
      </c>
      <c r="K36" s="25">
        <v>0.8291</v>
      </c>
      <c r="L36" s="25">
        <v>0.8273</v>
      </c>
      <c r="M36" s="25">
        <v>0.8404</v>
      </c>
      <c r="N36" s="25">
        <v>0.8372</v>
      </c>
      <c r="O36" s="25">
        <v>0.8356</v>
      </c>
      <c r="P36" s="25">
        <v>0.8414</v>
      </c>
      <c r="Q36" s="25">
        <v>0.8433</v>
      </c>
      <c r="R36" s="25">
        <v>0.826</v>
      </c>
      <c r="S36" s="25">
        <v>0.8505</v>
      </c>
      <c r="T36" s="25">
        <v>0.8513</v>
      </c>
      <c r="U36" s="25">
        <v>0.8514</v>
      </c>
      <c r="V36" s="25">
        <v>0.85</v>
      </c>
      <c r="W36" s="25">
        <v>0.8535</v>
      </c>
      <c r="X36" s="25">
        <v>0.8454</v>
      </c>
      <c r="Y36" s="25">
        <v>0.8046</v>
      </c>
      <c r="Z36" s="25">
        <v>0.8406</v>
      </c>
      <c r="AA36" s="25">
        <v>0.8452</v>
      </c>
      <c r="AB36" s="25">
        <v>0.8403</v>
      </c>
      <c r="AC36" s="25">
        <v>0.8397</v>
      </c>
      <c r="AD36" s="25">
        <v>0.9381</v>
      </c>
      <c r="AE36" s="25">
        <v>0.9039</v>
      </c>
      <c r="AF36" s="25">
        <v>0.8676</v>
      </c>
      <c r="AG36" s="25">
        <v>0.8653</v>
      </c>
      <c r="AH36" s="25">
        <v>0.8677</v>
      </c>
      <c r="AI36" s="25">
        <v>0.865</v>
      </c>
      <c r="AJ36" s="25">
        <v>0.8597</v>
      </c>
      <c r="AK36" s="25">
        <v>0.8674</v>
      </c>
      <c r="AL36" s="25">
        <v>0.8472</v>
      </c>
      <c r="AM36" s="25">
        <v>0.8377</v>
      </c>
      <c r="AN36" s="25">
        <v>0.8203</v>
      </c>
      <c r="AO36" s="25">
        <v>0.8311</v>
      </c>
      <c r="AP36" s="25">
        <v>0.8356</v>
      </c>
      <c r="AQ36" s="25">
        <v>0.838</v>
      </c>
      <c r="AR36" s="25">
        <v>0.8398</v>
      </c>
      <c r="AS36" s="25">
        <v>0.8422</v>
      </c>
      <c r="AT36" s="25">
        <v>0.8425</v>
      </c>
      <c r="AU36" s="25">
        <v>0.8418</v>
      </c>
      <c r="AV36" s="25">
        <v>0.8367</v>
      </c>
      <c r="AW36" s="25">
        <v>0.8356</v>
      </c>
      <c r="AX36" s="25">
        <v>0.8464</v>
      </c>
      <c r="AY36" s="25">
        <v>0.8369</v>
      </c>
      <c r="AZ36" s="25">
        <v>0.8434</v>
      </c>
      <c r="BA36" s="25">
        <v>0.8354</v>
      </c>
      <c r="BB36" s="25">
        <v>0.8333</v>
      </c>
      <c r="BC36" s="25">
        <v>0.8331</v>
      </c>
      <c r="BD36" s="25">
        <v>0.8372</v>
      </c>
      <c r="BE36" s="25">
        <v>0.8334</v>
      </c>
      <c r="BF36" s="25">
        <v>0.8239</v>
      </c>
      <c r="BG36" s="25">
        <v>0.8414</v>
      </c>
      <c r="BH36" s="25">
        <v>0.8431</v>
      </c>
      <c r="BI36" s="25">
        <v>0.8592</v>
      </c>
      <c r="BJ36" s="25">
        <v>0.8605</v>
      </c>
      <c r="BK36" s="25">
        <v>0.8536</v>
      </c>
      <c r="BL36" s="25">
        <v>0.8521</v>
      </c>
      <c r="BM36" s="25">
        <v>0.8541</v>
      </c>
      <c r="BN36" s="25">
        <v>0.8404</v>
      </c>
      <c r="BO36" s="25">
        <v>0.8425</v>
      </c>
      <c r="BP36" s="25">
        <v>0.8498</v>
      </c>
      <c r="BQ36" s="25">
        <v>0.8609</v>
      </c>
      <c r="BR36" s="25">
        <v>0.8506</v>
      </c>
      <c r="BS36" s="25">
        <v>0.8844</v>
      </c>
      <c r="BT36" s="25">
        <v>0.8929</v>
      </c>
      <c r="BU36" s="25">
        <v>0.9044</v>
      </c>
      <c r="BV36" s="25">
        <v>0.903</v>
      </c>
      <c r="BW36" s="25">
        <v>0.9364</v>
      </c>
      <c r="BX36" s="25">
        <v>0.9802</v>
      </c>
      <c r="BY36" s="25">
        <v>0.9883</v>
      </c>
      <c r="BZ36" s="25">
        <v>0.9739</v>
      </c>
      <c r="CA36" s="25">
        <v>0.9601</v>
      </c>
      <c r="CB36" s="25">
        <v>0.9664</v>
      </c>
      <c r="CC36" s="25">
        <v>0.9366</v>
      </c>
      <c r="CD36" s="25">
        <v>0.95</v>
      </c>
      <c r="CE36" s="25">
        <v>0.9852</v>
      </c>
      <c r="CF36" s="25">
        <v>0.986</v>
      </c>
      <c r="CG36" s="25">
        <v>0.9896</v>
      </c>
      <c r="CH36" s="25">
        <v>0.988</v>
      </c>
      <c r="CI36" s="25">
        <v>0.9851</v>
      </c>
      <c r="CJ36" s="25">
        <v>0.988</v>
      </c>
      <c r="CK36" s="25">
        <v>0.9882</v>
      </c>
      <c r="CL36" s="25">
        <v>0.9846</v>
      </c>
      <c r="CM36" s="25">
        <v>0.9894</v>
      </c>
      <c r="CN36" s="25">
        <v>0.9769</v>
      </c>
      <c r="CO36" s="25">
        <v>0.9793</v>
      </c>
      <c r="CP36" s="25">
        <v>0.9815</v>
      </c>
      <c r="CQ36" s="25">
        <v>0.9873</v>
      </c>
      <c r="CR36" s="25">
        <v>0.9876</v>
      </c>
      <c r="CS36" s="25">
        <v>0.988</v>
      </c>
      <c r="CT36" s="25">
        <v>0.9897</v>
      </c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</row>
    <row r="37" spans="1:112" s="6" customFormat="1" ht="15" customHeight="1">
      <c r="A37" s="9" t="s">
        <v>37</v>
      </c>
      <c r="B37" s="5">
        <v>2003</v>
      </c>
      <c r="C37" s="5">
        <v>1997</v>
      </c>
      <c r="D37" s="5">
        <v>2014</v>
      </c>
      <c r="E37" s="5">
        <v>2046</v>
      </c>
      <c r="F37" s="5">
        <v>2061</v>
      </c>
      <c r="G37" s="5">
        <v>2076</v>
      </c>
      <c r="H37" s="5">
        <v>2124</v>
      </c>
      <c r="I37" s="5">
        <v>2174</v>
      </c>
      <c r="J37" s="5">
        <v>2207</v>
      </c>
      <c r="K37" s="5">
        <v>2226</v>
      </c>
      <c r="L37" s="5">
        <v>2264</v>
      </c>
      <c r="M37" s="5">
        <v>2283</v>
      </c>
      <c r="N37" s="5">
        <v>2289</v>
      </c>
      <c r="O37" s="5">
        <v>2310</v>
      </c>
      <c r="P37" s="5">
        <v>2326</v>
      </c>
      <c r="Q37" s="5">
        <v>2362</v>
      </c>
      <c r="R37" s="5">
        <v>2379</v>
      </c>
      <c r="S37" s="5">
        <v>2393</v>
      </c>
      <c r="T37" s="5">
        <v>2391</v>
      </c>
      <c r="U37" s="5">
        <v>2406</v>
      </c>
      <c r="V37" s="5">
        <v>2407</v>
      </c>
      <c r="W37" s="5">
        <v>2437</v>
      </c>
      <c r="X37" s="5">
        <v>2457</v>
      </c>
      <c r="Y37" s="5">
        <v>2477</v>
      </c>
      <c r="Z37" s="5">
        <v>2471</v>
      </c>
      <c r="AA37" s="5">
        <v>2453</v>
      </c>
      <c r="AB37" s="5">
        <v>2459</v>
      </c>
      <c r="AC37" s="5">
        <v>2457</v>
      </c>
      <c r="AD37" s="5">
        <v>2461</v>
      </c>
      <c r="AE37" s="5">
        <v>2483</v>
      </c>
      <c r="AF37" s="5">
        <v>2464</v>
      </c>
      <c r="AG37" s="5">
        <v>2458</v>
      </c>
      <c r="AH37" s="5">
        <v>2563</v>
      </c>
      <c r="AI37" s="5">
        <v>2643</v>
      </c>
      <c r="AJ37" s="5">
        <v>2729</v>
      </c>
      <c r="AK37" s="5">
        <v>2738</v>
      </c>
      <c r="AL37" s="5">
        <v>2772</v>
      </c>
      <c r="AM37" s="5">
        <v>2775</v>
      </c>
      <c r="AN37" s="5">
        <v>2795</v>
      </c>
      <c r="AO37" s="5">
        <v>2791</v>
      </c>
      <c r="AP37" s="5">
        <v>2794</v>
      </c>
      <c r="AQ37" s="5">
        <v>2793</v>
      </c>
      <c r="AR37" s="5">
        <v>2804</v>
      </c>
      <c r="AS37" s="5">
        <v>2791</v>
      </c>
      <c r="AT37" s="5">
        <v>2848</v>
      </c>
      <c r="AU37" s="5">
        <v>2906</v>
      </c>
      <c r="AV37" s="5">
        <v>2983</v>
      </c>
      <c r="AW37" s="5">
        <v>3013</v>
      </c>
      <c r="AX37" s="5">
        <v>3009</v>
      </c>
      <c r="AY37" s="5">
        <v>3012</v>
      </c>
      <c r="AZ37" s="5">
        <v>3018</v>
      </c>
      <c r="BA37" s="5">
        <v>3034</v>
      </c>
      <c r="BB37" s="5">
        <v>3016</v>
      </c>
      <c r="BC37" s="5">
        <v>3019</v>
      </c>
      <c r="BD37" s="5">
        <v>3073</v>
      </c>
      <c r="BE37" s="5">
        <v>3114</v>
      </c>
      <c r="BF37" s="5">
        <v>3129</v>
      </c>
      <c r="BG37" s="5">
        <v>3124</v>
      </c>
      <c r="BH37" s="5">
        <v>3170</v>
      </c>
      <c r="BI37" s="5">
        <v>3179</v>
      </c>
      <c r="BJ37" s="5">
        <v>3206</v>
      </c>
      <c r="BK37" s="5">
        <v>3230</v>
      </c>
      <c r="BL37" s="5">
        <v>3231</v>
      </c>
      <c r="BM37" s="5">
        <v>3239</v>
      </c>
      <c r="BN37" s="5">
        <v>3262</v>
      </c>
      <c r="BO37" s="5">
        <v>3268</v>
      </c>
      <c r="BP37" s="5">
        <v>3282</v>
      </c>
      <c r="BQ37" s="5">
        <v>3271</v>
      </c>
      <c r="BR37" s="5">
        <v>3270</v>
      </c>
      <c r="BS37" s="5">
        <v>3266</v>
      </c>
      <c r="BT37" s="5">
        <v>3284</v>
      </c>
      <c r="BU37" s="5">
        <v>3282</v>
      </c>
      <c r="BV37" s="5">
        <v>3307</v>
      </c>
      <c r="BW37" s="5">
        <v>3316</v>
      </c>
      <c r="BX37" s="5">
        <v>3316</v>
      </c>
      <c r="BY37" s="5">
        <v>3316</v>
      </c>
      <c r="BZ37" s="5">
        <v>3308</v>
      </c>
      <c r="CA37" s="5">
        <v>3305</v>
      </c>
      <c r="CB37" s="5">
        <v>3291</v>
      </c>
      <c r="CC37" s="5">
        <v>3238</v>
      </c>
      <c r="CD37" s="5">
        <v>3243</v>
      </c>
      <c r="CE37" s="5">
        <v>3210</v>
      </c>
      <c r="CF37" s="5">
        <v>3259</v>
      </c>
      <c r="CG37" s="5">
        <v>3246</v>
      </c>
      <c r="CH37" s="5">
        <v>3161</v>
      </c>
      <c r="CI37" s="5">
        <v>3192</v>
      </c>
      <c r="CJ37" s="5">
        <v>3189</v>
      </c>
      <c r="CK37" s="5">
        <v>3187</v>
      </c>
      <c r="CL37" s="5">
        <v>2984</v>
      </c>
      <c r="CM37" s="5">
        <v>2982</v>
      </c>
      <c r="CN37" s="5">
        <v>2969</v>
      </c>
      <c r="CO37" s="5">
        <v>2966</v>
      </c>
      <c r="CP37" s="5">
        <v>2962</v>
      </c>
      <c r="CQ37" s="8">
        <v>2867</v>
      </c>
      <c r="CR37" s="5">
        <v>2863</v>
      </c>
      <c r="CS37" s="5">
        <v>2930</v>
      </c>
      <c r="CT37" s="5">
        <v>2936</v>
      </c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s="6" customFormat="1" ht="15" customHeight="1">
      <c r="A38" s="9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>
        <v>28</v>
      </c>
      <c r="CL38" s="5">
        <v>31</v>
      </c>
      <c r="CM38" s="5">
        <v>23</v>
      </c>
      <c r="CN38" s="5">
        <v>26</v>
      </c>
      <c r="CO38" s="5">
        <v>29</v>
      </c>
      <c r="CP38" s="5">
        <v>31</v>
      </c>
      <c r="CQ38" s="5">
        <v>31</v>
      </c>
      <c r="CR38" s="5">
        <v>32</v>
      </c>
      <c r="CS38" s="5">
        <v>32</v>
      </c>
      <c r="CT38" s="5">
        <v>26</v>
      </c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98" s="6" customFormat="1" ht="15" customHeight="1" outlineLevel="1">
      <c r="A39" s="9" t="s">
        <v>22</v>
      </c>
      <c r="B39" s="20">
        <v>42.9692</v>
      </c>
      <c r="C39" s="20">
        <v>43.1817</v>
      </c>
      <c r="D39" s="20">
        <v>43.2189</v>
      </c>
      <c r="E39" s="20">
        <v>43.2036</v>
      </c>
      <c r="F39" s="20">
        <v>43.283304761904766</v>
      </c>
      <c r="G39" s="20">
        <v>43.4811</v>
      </c>
      <c r="H39" s="20">
        <v>43.5749</v>
      </c>
      <c r="I39" s="20">
        <v>43.6016</v>
      </c>
      <c r="J39" s="20">
        <v>43.76516666666667</v>
      </c>
      <c r="K39" s="20">
        <v>43.9085</v>
      </c>
      <c r="L39" s="20">
        <v>44.1474</v>
      </c>
      <c r="M39" s="20">
        <v>44.2607</v>
      </c>
      <c r="N39" s="20">
        <v>44.607922222222236</v>
      </c>
      <c r="O39" s="20">
        <v>44.8817</v>
      </c>
      <c r="P39" s="20">
        <v>44.7524</v>
      </c>
      <c r="Q39" s="20">
        <v>44.7971238095238</v>
      </c>
      <c r="R39" s="20">
        <v>44.8651</v>
      </c>
      <c r="S39" s="20">
        <v>44.914857142857144</v>
      </c>
      <c r="T39" s="20">
        <v>45.06055652173912</v>
      </c>
      <c r="U39" s="20">
        <v>45.143261904761914</v>
      </c>
      <c r="V39" s="20">
        <v>45.22822380952381</v>
      </c>
      <c r="W39" s="20">
        <v>45.3339</v>
      </c>
      <c r="X39" s="20">
        <v>45.4333</v>
      </c>
      <c r="Y39" s="20">
        <v>45.5277</v>
      </c>
      <c r="Z39" s="20">
        <v>45.6154</v>
      </c>
      <c r="AA39" s="20">
        <v>45.7642</v>
      </c>
      <c r="AB39" s="20">
        <v>45.8094</v>
      </c>
      <c r="AC39" s="20">
        <v>45.8535</v>
      </c>
      <c r="AD39" s="20">
        <v>45.901</v>
      </c>
      <c r="AE39" s="20">
        <v>45.95412727272728</v>
      </c>
      <c r="AF39" s="20">
        <v>45.9945</v>
      </c>
      <c r="AG39" s="20">
        <v>46.0061</v>
      </c>
      <c r="AH39" s="20">
        <v>46.17459999999999</v>
      </c>
      <c r="AI39" s="20">
        <v>46.4371</v>
      </c>
      <c r="AJ39" s="20">
        <v>46.5893</v>
      </c>
      <c r="AK39" s="20">
        <v>46.6741</v>
      </c>
      <c r="AL39" s="20">
        <v>46.7828</v>
      </c>
      <c r="AM39" s="20">
        <v>47.1285</v>
      </c>
      <c r="AN39" s="20">
        <v>47.3172</v>
      </c>
      <c r="AO39" s="20">
        <v>47.3961111111111</v>
      </c>
      <c r="AP39" s="20">
        <v>47.4402</v>
      </c>
      <c r="AQ39" s="20">
        <v>47.5046</v>
      </c>
      <c r="AR39" s="20">
        <v>47.5375</v>
      </c>
      <c r="AS39" s="20">
        <v>47.58120454545454</v>
      </c>
      <c r="AT39" s="20">
        <v>47.7206</v>
      </c>
      <c r="AU39" s="20">
        <v>47.8314</v>
      </c>
      <c r="AV39" s="20">
        <v>47.97352380952381</v>
      </c>
      <c r="AW39" s="20">
        <v>48.19887</v>
      </c>
      <c r="AX39" s="20">
        <v>48.424699999999994</v>
      </c>
      <c r="AY39" s="20">
        <v>48.8367</v>
      </c>
      <c r="AZ39" s="20">
        <v>49.20291428571428</v>
      </c>
      <c r="BA39" s="20">
        <v>49.3807</v>
      </c>
      <c r="BB39" s="20">
        <v>49.4018</v>
      </c>
      <c r="BC39" s="20">
        <v>49.4161</v>
      </c>
      <c r="BD39" s="20">
        <v>49.5841</v>
      </c>
      <c r="BE39" s="20">
        <v>49.7276</v>
      </c>
      <c r="BF39" s="20">
        <v>49.8208</v>
      </c>
      <c r="BG39" s="20">
        <v>49.977</v>
      </c>
      <c r="BH39" s="20">
        <v>50.1375</v>
      </c>
      <c r="BI39" s="20">
        <v>50.21</v>
      </c>
      <c r="BJ39" s="20">
        <v>50.3761</v>
      </c>
      <c r="BK39" s="20">
        <v>50.4897</v>
      </c>
      <c r="BL39" s="20">
        <v>50.5432</v>
      </c>
      <c r="BM39" s="20">
        <v>50.5524</v>
      </c>
      <c r="BN39" s="20">
        <v>50.5647</v>
      </c>
      <c r="BO39" s="20">
        <v>50.7277</v>
      </c>
      <c r="BP39" s="20">
        <v>50.9213</v>
      </c>
      <c r="BQ39" s="20">
        <v>51.1756</v>
      </c>
      <c r="BR39" s="20">
        <v>51.6597</v>
      </c>
      <c r="BS39" s="20">
        <v>52.7486</v>
      </c>
      <c r="BT39" s="20">
        <v>52.8691</v>
      </c>
      <c r="BU39" s="20">
        <v>52.9102</v>
      </c>
      <c r="BV39" s="20">
        <v>53.1086</v>
      </c>
      <c r="BW39" s="20">
        <v>53.3702</v>
      </c>
      <c r="BX39" s="20">
        <v>53.7389</v>
      </c>
      <c r="BY39" s="20">
        <v>54.2019</v>
      </c>
      <c r="BZ39" s="20">
        <v>55.3914</v>
      </c>
      <c r="CA39" s="20">
        <v>57.9353</v>
      </c>
      <c r="CB39" s="20">
        <v>58.3452</v>
      </c>
      <c r="CC39" s="20">
        <v>58.4827</v>
      </c>
      <c r="CD39" s="20">
        <v>58.4714</v>
      </c>
      <c r="CE39" s="20">
        <v>58.4858</v>
      </c>
      <c r="CF39" s="20">
        <v>58.4476</v>
      </c>
      <c r="CG39" s="20">
        <v>58.3154</v>
      </c>
      <c r="CH39" s="20">
        <v>58.3065</v>
      </c>
      <c r="CI39" s="20">
        <v>58.0968</v>
      </c>
      <c r="CJ39" s="20">
        <v>57.4518</v>
      </c>
      <c r="CK39" s="20">
        <v>57.0965</v>
      </c>
      <c r="CL39" s="20">
        <v>57.040228571428564</v>
      </c>
      <c r="CM39" s="20">
        <v>57.1258</v>
      </c>
      <c r="CN39" s="20">
        <v>57.1956</v>
      </c>
      <c r="CO39" s="20">
        <v>57.185376190476184</v>
      </c>
      <c r="CP39" s="20">
        <v>56.759</v>
      </c>
      <c r="CQ39" s="8">
        <v>56.5141</v>
      </c>
      <c r="CR39" s="20">
        <v>56.7216</v>
      </c>
      <c r="CS39" s="20">
        <v>57.1601</v>
      </c>
      <c r="CT39" s="20">
        <v>57.8326</v>
      </c>
    </row>
    <row r="40" spans="1:95" ht="12.75">
      <c r="A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CQ40" s="21"/>
    </row>
    <row r="41" spans="2:73" s="6" customFormat="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5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2:73" s="6" customFormat="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41" ht="12.75">
      <c r="A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:73" ht="12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6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ht="12" customHeight="1">
      <c r="A47" s="14"/>
    </row>
  </sheetData>
  <sheetProtection/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landscape" paperSize="17" scale="21" r:id="rId1"/>
  <ignoredErrors>
    <ignoredError sqref="E20:G20 E21:G21 E22:G22 E23:G23 E25:G25 E27:G27 E29:G29 E24:G24 E26:G26 E28:G28 E30:G30 H24:J24 H26:J26 H28:J28 H30:J30 K24:M24 K26:M26 K28:M28 K30:M30 N24:P24 N26:P26 N28:P28 N30:P30 Q24:S24 Q26:S26 Q28:S28 Q30:S30 T24:V24 T26:V26 T28:V28 T30:V30 W24:Y24 W26:Y26 W28:Y28 W30:Y30 Z24:AB24 Z26:AB26 Z28:AB28 Z30:AB30 AC24:AE24 AC26:AE26 AC28:AE28 AC30:AE30 AF24:AH24 AF26:AH26 AF28:AH28 AF30:AH30 AI24:AK24 AI26:AK26 AI28:AK28 AI30:AK30 AL24:AN24 AL26:AN26 AL28:AN28 AL30:AM30 AO24:AQ24 AO26:AQ26 AO28:AQ28 AO30:AQ30 AR24:AT24 AR26:AT26 AR28:AT28 AR30:AT30 AU24:AW24 AU26:AW26 AU28:AW28 AU30:AW30 AX24:AZ24 AX26:AZ26 AX28:AZ28 AX30:AZ30 BA24:BC24 BA26:BC26 BA28:BC28 BA30:BC30 BD24:BF24 BD26:BF26 BD28:BF28 BD30:BF30 BG30:BI30 BG28:BI28 BG26:BI26 BG24:BI24 E15:G15 E14:G14 E16:G16 E18:G18 E17:G17 E19:G19 E39:G39 E37:G37 E31:G31 E32:G32 E33:G33 E36:G36 E34:G34 E35:G35 BJ22 BJ23 BJ25 BJ27 BJ29 BJ15 BJ14 BJ16 BJ19 BJ39 BJ37 BJ31 BJ32 BJ33 BJ36 BG20:BI20 BG21:BI21 BG22:BI22 BG23:BI23 BG25:BI25 BG27:BI27 BG29:BI29 BG15:BI15 BG14:BI14 BG16:BI16 BG18:BI18 BG17:BI17 BG19:BI19 BG39:BI39 BG37:BI37 BG31:BI31 BG32:BI32 BG33:BI33 BG36:BI36 BG34:BI34 BG35:BI35 BD20:BF20 BD21:BF21 BD22:BF22 BD23:BF23 BD25:BF25 BD27:BF27 BD29:BF29 BD15:BF15 BD14:BF14 BD16:BF16 BD18:BF18 BD17:BF17 BD19:BF19 BD39:BF39 BD37:BF37 BD31:BF31 BD32:BF32 BD33:BF33 BD36:BF36 BD34:BF34 BD35:BF35 BA20:BC20 BA21:BC21 BA22:BC22 BA23:BC23 BA25:BC25 BA27:BC27 BA29:BC29 BA15:BC15 BA14:BC14 BA16:BC16 BA18:BC18 BA17:BC17 BA19:BC19 BA39:BC39 BA37:BC37 BA31:BC31 BA32:BC32 BA33:BC33 BA36:BC36 BA34:BC34 BA35:BC35 AX20:AZ20 AX21:AZ21 AX22:AZ22 AX23:AZ23 AX25:AZ25 AX27:AZ27 AX29:AZ29 AX15:AZ15 AX14:AZ14 AX16:AZ16 AX18:AZ18 AX17:AZ17 AX19:AZ19 AX39:AZ39 AX37:AZ37 AX31:AZ31 AX32:AZ32 AX33:AZ33 AX36:AZ36 AX34:AZ34 AX35:AZ35 AU20:AW20 AU21:AW21 AU22:AW22 AU23:AW23 AU25:AW25 AU27:AW27 AU29:AW29 AU15:AW15 AU14:AW14 AU16:AW16 AU18:AW18 AU17:AW17 AU19:AW19 AU39:AW39 AU37:AW37 AU31:AW31 AU32:AW32 AU33:AW33 AU36:AW36 AU34:AW34 AU35:AW35 AR20:AT20 AR21:AT21 AR22:AT22 AR23:AT23 AR25:AT25 AR27:AT27 AR29:AT29 AR15:AT15 AR14:AT14 AR16:AT16 AR18:AT18 AR17:AT17 AR19:AT19 AR39:AT39 AR37:AT37 AR31:AT31 AR32:AT32 AR33:AT33 AR36:AT36 AR34:AT34 AR35:AT35 AO20:AQ20 AO21:AQ21 AO22:AQ22 AO23:AQ23 AO25:AQ25 AO27:AQ27 AO29:AQ29 AO15:AQ15 AO14:AQ14 AO16:AQ16 AO18:AQ18 AO17:AQ17 AO19:AQ19 AO39:AQ39 AO37:AQ37 AO31:AQ31 AO32:AQ32 AO33:AQ33 AO36:AQ36 AO34:AQ34 AO35:AQ35 AL20:AN20 AL21:AN21 AL22:AN22 AL23:AN23 AL25:AN25 AL27:AN27 AL29:AN29 AL15:AN15 AL14:AN14 AL16:AN16 AL18:AN18 AL17:AN17 AL19:AN19 AL39:AN39 AL37:AN37 AL31:AN31 AL32:AN32 AL33:AN33 AL36:AN36 AL34:AN34 AL35:AN35 AI20:AK20 AI21:AK21 AI22:AK22 AI23:AK23 AI25:AK25 AI27:AK27 AI29:AK29 AI15:AK15 AI14:AK14 AI16:AK16 AI18:AK18 AI17:AK17 AI19:AK19 AI39:AK39 AI37:AK37 AI31:AK31 AI32:AK32 AI33:AK33 AI36:AK36 AI34:AK34 AI35:AK35 AF20:AH20 AF21:AH21 AF22:AH22 AF23:AH23 AF25:AH25 AF27:AH27 AF29:AH29 AF15:AH15 AF14:AH14 AF16:AH16 AF18:AH18 AF17:AH17 AF19:AH19 AF39:AH39 AF37:AH37 AF31:AH31 AF32:AH32 AF33:AH33 AF36:AH36 AF34:AH34 AF35:AH35 AC20:AE20 AC21:AE21 AC22:AE22 AC23:AE23 AC25:AE25 AC27:AE27 AC29:AE29 AC15:AE15 AC14:AE14 AC16:AE16 AC18:AE18 AC17:AE17 AC19:AE19 AC39:AE39 AC37:AE37 AC31:AE31 AC32:AE32 AC33:AE33 AC36:AE36 AC34:AE34 AC35:AE35 Z20:AB20 Z21:AB21 Z22:AB22 Z23:AB23 Z25:AB25 Z27:AB27 Z29:AB29 Z15:AB15 Z14:AB14 Z16:AB16 Z18:AB18 Z17:AB17 Z19:AB19 Z39:AB39 Z37:AB37 Z31:AB31 Z32:AB32 Z33:AB33 Z36:AB36 Z34:AB34 Z35:AB35 W20:Y20 W21:Y21 W22:Y22 W23:Y23 W25:Y25 W27:Y27 W29:Y29 W15:Y15 W14:Y14 W16:Y16 W18:Y18 W17:Y17 W19:Y19 W39:Y39 W37:Y37 W31:Y31 W32:Y32 W33:Y33 W36:Y36 W34:Y34 W35:Y35 T20:V20 T21:V21 T22:V22 T23:V23 T25:V25 T27:V27 T29:V29 T15:V15 T14:V14 T16:V16 T18:V18 T17:V17 T19:V19 T39:V39 T37:V37 T31:V31 T32:V32 T33:V33 T36:V36 T34:V34 T35:V35 Q20:S20 Q21:S21 Q22:S22 Q23:S23 Q25:S25 Q27:S27 Q29:S29 Q15:S15 Q14:S14 Q16:S16 Q18:S18 Q17:S17 Q19:S19 Q39:S39 Q37:S37 Q31:S31 Q32:S32 Q33:S33 Q36:S36 Q34:S34 Q35:S35 N20:P20 N21:P21 N22:P22 N23:P23 N25:P25 N27:P27 N29:P29 N15:P15 N14:P14 N16:P16 N18:P18 N17:P17 N19:P19 N39:P39 N37:P37 N31:P31 N32:P32 N33:P33 N36:P36 N34:P34 N35:P35 K20:M20 K21:M21 K22:M22 K23:M23 K25:M25 K27:M27 K29:M29 K15:M15 K14:M14 K16:M16 K18:M18 K17:M17 K19:M19 K39:M39 K37:M37 K31:M31 K32:M32 K33:M33 K36:M36 K34:M34 K35:M35 H20:J20 H21:J21 H22:J22 H23:J23 H25:J25 H27:J27 H29:J29 H15:J15 H14:J14 H16:J16 H18:J18 H17:J17 H19:J19 H39:J39 H37:J37 H31:J31 H32:J32 H33:J33 H36:J36 H34:J34 H35:J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Dilcia Villanueva</dc:creator>
  <cp:keywords/>
  <dc:description/>
  <cp:lastModifiedBy>Rodolfo Andres De los Santos Montero</cp:lastModifiedBy>
  <cp:lastPrinted>2022-03-08T15:38:30Z</cp:lastPrinted>
  <dcterms:created xsi:type="dcterms:W3CDTF">2014-09-23T23:42:05Z</dcterms:created>
  <dcterms:modified xsi:type="dcterms:W3CDTF">2022-03-08T18:52:30Z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0x01010071618C486FED0641B9F260CE00DEE792</vt:lpwstr>
  </property>
</Properties>
</file>