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<sst xmlns="http://schemas.openxmlformats.org/spreadsheetml/2006/main" count="73" uniqueCount="51">
  <si>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</si>
  <si>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</si>
  <si>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</si>
  <si>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</si>
  <si>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</si>
  <si>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</si>
  <si>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</si>
  <si>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</si>
  <si>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</si>
  <si>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</si>
  <si>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</si>
  <si>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</si>
  <si>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</si>
  <si>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</si>
  <si>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</si>
  <si>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</si>
  <si>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</si>
  <si>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</si>
  <si>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</si>
  <si>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</si>
  <si>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</si>
  <si>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</si>
  <si>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</si>
  <si>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</si>
  <si>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</si>
  <si>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</si>
  <si>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</si>
  <si>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Comparación 2016 - 2017</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</si>
  <si>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</si>
  <si>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</si>
  <si>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</si>
  <si>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</si>
  <si>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</si>
  <si>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</si>
  <si>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</si>
  <si>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</si>
  <si>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</si>
  <si>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</si>
  <si>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</si>
  <si>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</si>
  <si>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</si>
  <si>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</si>
  <si>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</si>
  <si>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</si>
  <si>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</si>
  <si>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</si>
  <si>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</si>
  <si>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</si>
  <si>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</si>
  <si>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Comparación 2017 - 2018</t>
  </si>
  <si>
    <t>Cantidad de Clientes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</si>
</sst>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s>
  <fonts count="71">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b/>
      <sz val="10"/>
      <color indexed="9"/>
      <name val="Symbol"/>
      <family val="1"/>
    </font>
    <font>
      <sz val="10"/>
      <color indexed="55"/>
      <name val="Calibri"/>
      <family val="2"/>
    </font>
    <font>
      <b/>
      <sz val="10"/>
      <color indexed="55"/>
      <name val="Calibri"/>
      <family val="2"/>
    </font>
    <font>
      <b/>
      <sz val="10"/>
      <color indexed="10"/>
      <name val="Calibri"/>
      <family val="2"/>
    </font>
    <font>
      <sz val="10"/>
      <color indexed="4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b/>
      <sz val="10"/>
      <color theme="0"/>
      <name val="Symbol"/>
      <family val="1"/>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6" fillId="0" borderId="4" applyNumberFormat="0" applyFill="0" applyAlignment="0" applyProtection="0"/>
    <xf numFmtId="0" fontId="47"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5"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3" fillId="0" borderId="0">
      <alignment/>
      <protection/>
    </xf>
    <xf numFmtId="0" fontId="4" fillId="0" borderId="0">
      <alignment/>
      <protection/>
    </xf>
    <xf numFmtId="0" fontId="45" fillId="0" borderId="0">
      <alignment/>
      <protection/>
    </xf>
    <xf numFmtId="0" fontId="0" fillId="32" borderId="5" applyNumberFormat="0" applyFont="0" applyAlignment="0" applyProtection="0"/>
    <xf numFmtId="9" fontId="53"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86">
    <xf numFmtId="0" fontId="0" fillId="0" borderId="0" xfId="0" applyFont="1" applyAlignment="1">
      <alignment/>
    </xf>
    <xf numFmtId="0" fontId="53" fillId="0" borderId="0" xfId="0" applyFont="1" applyAlignment="1" applyProtection="1">
      <alignment horizontal="center"/>
      <protection hidden="1"/>
    </xf>
    <xf numFmtId="0" fontId="60" fillId="0" borderId="0" xfId="54" applyFont="1" applyAlignment="1" applyProtection="1">
      <alignment horizontal="left" vertical="center"/>
      <protection hidden="1"/>
    </xf>
    <xf numFmtId="0" fontId="61" fillId="0" borderId="0" xfId="0" applyFont="1" applyAlignment="1" applyProtection="1">
      <alignment horizontal="left" indent="11"/>
      <protection hidden="1"/>
    </xf>
    <xf numFmtId="0" fontId="53" fillId="0" borderId="0" xfId="0" applyFont="1" applyFill="1" applyAlignment="1" applyProtection="1">
      <alignment horizontal="center"/>
      <protection hidden="1"/>
    </xf>
    <xf numFmtId="0" fontId="53" fillId="0" borderId="0" xfId="0" applyFont="1" applyAlignment="1" applyProtection="1">
      <alignment horizontal="right"/>
      <protection hidden="1"/>
    </xf>
    <xf numFmtId="0" fontId="62" fillId="0" borderId="0" xfId="0" applyFont="1" applyAlignment="1" applyProtection="1">
      <alignment horizontal="left" indent="11"/>
      <protection hidden="1"/>
    </xf>
    <xf numFmtId="0" fontId="53" fillId="0" borderId="0" xfId="0" applyFont="1" applyAlignment="1" applyProtection="1">
      <alignment horizontal="left" indent="11"/>
      <protection hidden="1"/>
    </xf>
    <xf numFmtId="0" fontId="53" fillId="0" borderId="0" xfId="0" applyFont="1" applyAlignment="1" applyProtection="1">
      <alignment/>
      <protection hidden="1"/>
    </xf>
    <xf numFmtId="0" fontId="63" fillId="0" borderId="0" xfId="0" applyNumberFormat="1" applyFont="1" applyAlignment="1" applyProtection="1">
      <alignment horizontal="center" vertical="center"/>
      <protection hidden="1"/>
    </xf>
    <xf numFmtId="0" fontId="63" fillId="0" borderId="0" xfId="0" applyNumberFormat="1" applyFont="1" applyFill="1" applyAlignment="1" applyProtection="1">
      <alignment horizontal="center" vertical="center"/>
      <protection hidden="1"/>
    </xf>
    <xf numFmtId="0" fontId="63" fillId="0" borderId="0" xfId="0" applyFont="1" applyFill="1" applyAlignment="1" applyProtection="1">
      <alignment horizontal="right"/>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Fill="1" applyAlignment="1" applyProtection="1">
      <alignment horizontal="center" vertical="center"/>
      <protection hidden="1"/>
    </xf>
    <xf numFmtId="3" fontId="63"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3" fillId="0" borderId="0" xfId="0" applyFont="1" applyFill="1" applyAlignment="1" applyProtection="1">
      <alignment horizontal="center"/>
      <protection hidden="1"/>
    </xf>
    <xf numFmtId="40" fontId="63" fillId="0" borderId="0" xfId="0" applyNumberFormat="1" applyFont="1" applyFill="1" applyBorder="1" applyAlignment="1" applyProtection="1">
      <alignment horizontal="center" vertical="center"/>
      <protection hidden="1"/>
    </xf>
    <xf numFmtId="0" fontId="63" fillId="0" borderId="0" xfId="0" applyFont="1" applyAlignment="1" applyProtection="1">
      <alignment horizontal="center"/>
      <protection hidden="1"/>
    </xf>
    <xf numFmtId="0" fontId="63"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5" fillId="0" borderId="0" xfId="0" applyFont="1" applyAlignment="1" applyProtection="1">
      <alignment horizontal="right"/>
      <protection hidden="1"/>
    </xf>
    <xf numFmtId="0" fontId="61" fillId="0" borderId="0" xfId="0" applyFont="1" applyAlignment="1" applyProtection="1">
      <alignment/>
      <protection hidden="1"/>
    </xf>
    <xf numFmtId="0" fontId="53" fillId="0" borderId="0" xfId="0" applyFont="1" applyAlignment="1" applyProtection="1">
      <alignment horizontal="center"/>
      <protection hidden="1"/>
    </xf>
    <xf numFmtId="0" fontId="63" fillId="0" borderId="0" xfId="0" applyNumberFormat="1" applyFont="1" applyAlignment="1" applyProtection="1">
      <alignment horizontal="center" vertical="center"/>
      <protection hidden="1"/>
    </xf>
    <xf numFmtId="0" fontId="0" fillId="0" borderId="0" xfId="0" applyAlignment="1">
      <alignment/>
    </xf>
    <xf numFmtId="0" fontId="53" fillId="0" borderId="0" xfId="0" applyFont="1" applyFill="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3"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0" fillId="0" borderId="0" xfId="0" applyAlignment="1">
      <alignment/>
    </xf>
    <xf numFmtId="0" fontId="63" fillId="0" borderId="0" xfId="0" applyNumberFormat="1" applyFont="1" applyFill="1" applyAlignment="1" applyProtection="1">
      <alignment horizontal="center" vertical="center"/>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Alignment="1" applyProtection="1">
      <alignment horizontal="center"/>
      <protection hidden="1"/>
    </xf>
    <xf numFmtId="0" fontId="53"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3"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3" fillId="0" borderId="0" xfId="57" applyFont="1" applyBorder="1" applyAlignment="1">
      <alignment/>
    </xf>
    <xf numFmtId="174" fontId="53"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3" fillId="34" borderId="0" xfId="0" applyFont="1" applyFill="1" applyAlignment="1" applyProtection="1">
      <alignment/>
      <protection hidden="1"/>
    </xf>
    <xf numFmtId="0" fontId="63" fillId="34" borderId="0" xfId="0" applyFont="1" applyFill="1" applyBorder="1" applyAlignment="1" applyProtection="1">
      <alignment horizontal="center" vertical="center"/>
      <protection hidden="1"/>
    </xf>
    <xf numFmtId="49" fontId="66" fillId="34" borderId="0" xfId="0" applyNumberFormat="1" applyFont="1" applyFill="1" applyBorder="1" applyAlignment="1" applyProtection="1">
      <alignment horizontal="center" vertical="center"/>
      <protection hidden="1"/>
    </xf>
    <xf numFmtId="17" fontId="64" fillId="34" borderId="0" xfId="0" applyNumberFormat="1" applyFont="1" applyFill="1" applyBorder="1" applyAlignment="1" applyProtection="1">
      <alignment horizontal="center" vertical="center"/>
      <protection hidden="1"/>
    </xf>
    <xf numFmtId="49" fontId="64"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3"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3"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3"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4" fillId="34" borderId="0" xfId="0" applyNumberFormat="1" applyFont="1" applyFill="1" applyBorder="1" applyAlignment="1" applyProtection="1">
      <alignment horizontal="center" vertical="center"/>
      <protection hidden="1"/>
    </xf>
    <xf numFmtId="4" fontId="53"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201" fontId="53" fillId="0" borderId="0" xfId="0" applyNumberFormat="1" applyFont="1" applyFill="1" applyAlignment="1" applyProtection="1">
      <alignment horizontal="center"/>
      <protection hidden="1"/>
    </xf>
    <xf numFmtId="174" fontId="53" fillId="0" borderId="0" xfId="57" applyNumberFormat="1" applyFont="1" applyFill="1" applyAlignment="1" applyProtection="1">
      <alignment horizontal="center"/>
      <protection hidden="1"/>
    </xf>
    <xf numFmtId="176" fontId="53" fillId="0" borderId="0" xfId="86" applyNumberFormat="1" applyFont="1" applyFill="1" applyAlignment="1" applyProtection="1">
      <alignment horizontal="center"/>
      <protection hidden="1"/>
    </xf>
    <xf numFmtId="171" fontId="53" fillId="0" borderId="0" xfId="0" applyNumberFormat="1" applyFont="1" applyFill="1" applyAlignment="1" applyProtection="1">
      <alignment horizontal="center"/>
      <protection hidden="1"/>
    </xf>
    <xf numFmtId="9" fontId="53" fillId="0" borderId="0" xfId="0" applyNumberFormat="1" applyFont="1" applyFill="1" applyAlignment="1" applyProtection="1">
      <alignment horizontal="center"/>
      <protection hidden="1"/>
    </xf>
    <xf numFmtId="41" fontId="53" fillId="0" borderId="0" xfId="0" applyNumberFormat="1" applyFont="1" applyFill="1" applyAlignment="1" applyProtection="1">
      <alignment horizontal="center"/>
      <protection hidden="1"/>
    </xf>
    <xf numFmtId="17" fontId="64" fillId="34" borderId="0" xfId="0" applyNumberFormat="1" applyFont="1" applyFill="1" applyBorder="1" applyAlignment="1" applyProtection="1">
      <alignment horizontal="center" vertical="center" wrapText="1"/>
      <protection hidden="1"/>
    </xf>
    <xf numFmtId="0" fontId="64" fillId="34" borderId="0" xfId="0" applyNumberFormat="1" applyFont="1" applyFill="1" applyBorder="1" applyAlignment="1" applyProtection="1">
      <alignment horizontal="center" vertical="center" wrapText="1"/>
      <protection hidden="1"/>
    </xf>
    <xf numFmtId="0" fontId="64" fillId="34" borderId="0" xfId="0" applyFont="1" applyFill="1" applyAlignment="1" applyProtection="1">
      <alignment horizontal="center"/>
      <protection hidden="1"/>
    </xf>
    <xf numFmtId="0" fontId="61" fillId="0" borderId="0" xfId="0" applyFont="1" applyAlignment="1" applyProtection="1">
      <alignment horizontal="center"/>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xdr:colOff>
      <xdr:row>51</xdr:row>
      <xdr:rowOff>180975</xdr:rowOff>
    </xdr:to>
    <xdr:pic>
      <xdr:nvPicPr>
        <xdr:cNvPr id="1" name="Imagen 1"/>
        <xdr:cNvPicPr preferRelativeResize="1">
          <a:picLocks noChangeAspect="1"/>
        </xdr:cNvPicPr>
      </xdr:nvPicPr>
      <xdr:blipFill>
        <a:blip r:embed="rId1"/>
        <a:stretch>
          <a:fillRect/>
        </a:stretch>
      </xdr:blipFill>
      <xdr:spPr>
        <a:xfrm>
          <a:off x="0" y="0"/>
          <a:ext cx="28575" cy="9896475"/>
        </a:xfrm>
        <a:prstGeom prst="rect">
          <a:avLst/>
        </a:prstGeom>
        <a:noFill/>
        <a:ln w="9525" cmpd="sng">
          <a:noFill/>
        </a:ln>
      </xdr:spPr>
    </xdr:pic>
    <xdr:clientData/>
  </xdr:twoCellAnchor>
  <xdr:twoCellAnchor editAs="oneCell">
    <xdr:from>
      <xdr:col>0</xdr:col>
      <xdr:colOff>0</xdr:colOff>
      <xdr:row>0</xdr:row>
      <xdr:rowOff>0</xdr:rowOff>
    </xdr:from>
    <xdr:to>
      <xdr:col>10</xdr:col>
      <xdr:colOff>0</xdr:colOff>
      <xdr:row>51</xdr:row>
      <xdr:rowOff>180975</xdr:rowOff>
    </xdr:to>
    <xdr:pic>
      <xdr:nvPicPr>
        <xdr:cNvPr id="2" name="Imagen 2"/>
        <xdr:cNvPicPr preferRelativeResize="1">
          <a:picLocks noChangeAspect="1"/>
        </xdr:cNvPicPr>
      </xdr:nvPicPr>
      <xdr:blipFill>
        <a:blip r:embed="rId1"/>
        <a:stretch>
          <a:fillRect/>
        </a:stretch>
      </xdr:blipFill>
      <xdr:spPr>
        <a:xfrm>
          <a:off x="0" y="0"/>
          <a:ext cx="7620000" cy="9896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P90"/>
  <sheetViews>
    <sheetView showGridLines="0" tabSelected="1" zoomScalePageLayoutView="0" workbookViewId="0" topLeftCell="A1">
      <pane xSplit="2" ySplit="7" topLeftCell="AW8" activePane="bottomRight" state="frozen"/>
      <selection pane="topLeft" activeCell="A1" sqref="A1"/>
      <selection pane="topRight" activeCell="C1" sqref="C1"/>
      <selection pane="bottomLeft" activeCell="A8" sqref="A8"/>
      <selection pane="bottomRight" activeCell="BI7" sqref="BI7"/>
    </sheetView>
  </sheetViews>
  <sheetFormatPr defaultColWidth="9.140625" defaultRowHeight="12" customHeight="1" outlineLevelRow="1"/>
  <cols>
    <col min="1" max="1" width="6.421875" style="24" customWidth="1"/>
    <col min="2" max="2" width="66.8515625" style="8" bestFit="1" customWidth="1"/>
    <col min="3" max="3" width="9.8515625" style="1" customWidth="1"/>
    <col min="4" max="4" width="11.140625" style="1" customWidth="1"/>
    <col min="5" max="5" width="13.421875" style="1" customWidth="1"/>
    <col min="6" max="6" width="14.28125" style="1" customWidth="1"/>
    <col min="7" max="7" width="1.7109375" style="4" customWidth="1"/>
    <col min="8" max="8" width="10.28125" style="1" customWidth="1"/>
    <col min="9" max="10" width="11.421875" style="1" customWidth="1"/>
    <col min="11" max="11" width="3.7109375" style="19" customWidth="1"/>
    <col min="12" max="23" width="10.7109375" style="1" customWidth="1"/>
    <col min="24" max="33" width="10.140625" style="1" bestFit="1" customWidth="1"/>
    <col min="34" max="35" width="10.57421875" style="1" bestFit="1" customWidth="1"/>
    <col min="36" max="37" width="11.00390625" style="26" customWidth="1"/>
    <col min="38" max="38" width="11.00390625" style="44" customWidth="1"/>
    <col min="39" max="39" width="12.7109375" style="44" customWidth="1"/>
    <col min="40" max="46" width="11.00390625" style="44" customWidth="1"/>
    <col min="47" max="47" width="11.00390625" style="44" bestFit="1" customWidth="1"/>
    <col min="48" max="48" width="10.140625" style="44" bestFit="1" customWidth="1"/>
    <col min="49" max="49" width="10.00390625" style="44" bestFit="1" customWidth="1"/>
    <col min="50" max="50" width="10.7109375" style="44" customWidth="1"/>
    <col min="51" max="70" width="10.00390625" style="44" customWidth="1"/>
    <col min="71" max="71" width="11.421875" style="1" customWidth="1"/>
    <col min="72" max="74" width="10.421875" style="1" customWidth="1"/>
    <col min="75" max="75" width="10.28125" style="1" customWidth="1"/>
    <col min="76" max="16384" width="9.140625" style="1" customWidth="1"/>
  </cols>
  <sheetData>
    <row r="1" spans="1:2" ht="12.75">
      <c r="A1" s="2"/>
      <c r="B1" s="3" t="s">
        <v>32</v>
      </c>
    </row>
    <row r="2" spans="1:39" ht="12.75">
      <c r="A2" s="5"/>
      <c r="B2" s="6" t="s">
        <v>31</v>
      </c>
      <c r="AM2" s="66"/>
    </row>
    <row r="3" spans="1:2" ht="12.75">
      <c r="A3" s="5"/>
      <c r="B3" s="7" t="s">
        <v>0</v>
      </c>
    </row>
    <row r="4" spans="1:2" ht="12.75">
      <c r="A4" s="5"/>
      <c r="B4" s="7" t="s">
        <v>1</v>
      </c>
    </row>
    <row r="5" spans="1:73" ht="12.75">
      <c r="A5" s="5"/>
      <c r="C5" s="54"/>
      <c r="F5" s="9"/>
      <c r="G5" s="10"/>
      <c r="H5" s="9"/>
      <c r="I5" s="9"/>
      <c r="J5" s="9"/>
      <c r="K5" s="10"/>
      <c r="L5" s="9"/>
      <c r="M5" s="9"/>
      <c r="N5" s="9"/>
      <c r="O5" s="9"/>
      <c r="P5" s="9"/>
      <c r="Q5" s="9"/>
      <c r="R5" s="9"/>
      <c r="S5" s="9"/>
      <c r="T5" s="9"/>
      <c r="U5" s="9"/>
      <c r="V5" s="9"/>
      <c r="W5" s="9"/>
      <c r="X5" s="9"/>
      <c r="Y5" s="9"/>
      <c r="Z5" s="9"/>
      <c r="AA5" s="9"/>
      <c r="AB5" s="9"/>
      <c r="AC5" s="9"/>
      <c r="AD5" s="9"/>
      <c r="AE5" s="9"/>
      <c r="AF5" s="9"/>
      <c r="AG5" s="9"/>
      <c r="AH5" s="9"/>
      <c r="AI5" s="9"/>
      <c r="AJ5" s="27"/>
      <c r="AK5" s="27"/>
      <c r="AL5" s="39"/>
      <c r="AM5" s="67"/>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T5" s="25"/>
      <c r="BU5" s="25"/>
    </row>
    <row r="6" spans="1:76" ht="12.75" customHeight="1">
      <c r="A6" s="5"/>
      <c r="B6" s="56"/>
      <c r="C6" s="82">
        <v>43405</v>
      </c>
      <c r="D6" s="82">
        <v>43040</v>
      </c>
      <c r="E6" s="84" t="s">
        <v>49</v>
      </c>
      <c r="F6" s="84"/>
      <c r="G6" s="42">
        <v>0</v>
      </c>
      <c r="H6" s="82">
        <v>42675</v>
      </c>
      <c r="I6" s="84" t="s">
        <v>27</v>
      </c>
      <c r="J6" s="84"/>
      <c r="K6" s="10"/>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3"/>
      <c r="AY6" s="63"/>
      <c r="AZ6" s="63"/>
      <c r="BA6" s="63"/>
      <c r="BB6" s="63"/>
      <c r="BC6" s="63"/>
      <c r="BD6" s="63"/>
      <c r="BE6" s="63"/>
      <c r="BF6" s="63"/>
      <c r="BG6" s="63"/>
      <c r="BH6" s="63"/>
      <c r="BI6" s="63"/>
      <c r="BJ6" s="63"/>
      <c r="BK6" s="63"/>
      <c r="BL6" s="63"/>
      <c r="BM6" s="63"/>
      <c r="BN6" s="63"/>
      <c r="BO6" s="63"/>
      <c r="BP6" s="63"/>
      <c r="BQ6" s="63"/>
      <c r="BR6" s="63"/>
      <c r="BT6" s="85" t="s">
        <v>2</v>
      </c>
      <c r="BU6" s="85"/>
      <c r="BV6" s="85"/>
      <c r="BW6" s="85"/>
      <c r="BX6" s="85"/>
    </row>
    <row r="7" spans="1:76" s="4" customFormat="1" ht="12.75">
      <c r="A7" s="11"/>
      <c r="B7" s="57"/>
      <c r="C7" s="83"/>
      <c r="D7" s="83"/>
      <c r="E7" s="58" t="s">
        <v>3</v>
      </c>
      <c r="F7" s="58" t="s">
        <v>4</v>
      </c>
      <c r="G7" s="43">
        <v>0</v>
      </c>
      <c r="H7" s="83"/>
      <c r="I7" s="58" t="s">
        <v>3</v>
      </c>
      <c r="J7" s="58" t="s">
        <v>4</v>
      </c>
      <c r="K7" s="12"/>
      <c r="L7" s="59">
        <v>41640</v>
      </c>
      <c r="M7" s="59">
        <v>41671</v>
      </c>
      <c r="N7" s="59">
        <v>41699</v>
      </c>
      <c r="O7" s="59">
        <v>41730</v>
      </c>
      <c r="P7" s="59">
        <v>41760</v>
      </c>
      <c r="Q7" s="59">
        <v>41791</v>
      </c>
      <c r="R7" s="59">
        <v>41821</v>
      </c>
      <c r="S7" s="59">
        <v>41852</v>
      </c>
      <c r="T7" s="59">
        <v>41883</v>
      </c>
      <c r="U7" s="59">
        <v>41913</v>
      </c>
      <c r="V7" s="59">
        <v>41945</v>
      </c>
      <c r="W7" s="59">
        <v>41976</v>
      </c>
      <c r="X7" s="59">
        <v>42005</v>
      </c>
      <c r="Y7" s="59">
        <v>42036</v>
      </c>
      <c r="Z7" s="59">
        <v>42065</v>
      </c>
      <c r="AA7" s="59">
        <v>42095</v>
      </c>
      <c r="AB7" s="59">
        <v>42125</v>
      </c>
      <c r="AC7" s="59">
        <v>42157</v>
      </c>
      <c r="AD7" s="59">
        <v>42189</v>
      </c>
      <c r="AE7" s="59">
        <v>42217</v>
      </c>
      <c r="AF7" s="59">
        <v>42248</v>
      </c>
      <c r="AG7" s="59">
        <v>42278</v>
      </c>
      <c r="AH7" s="59">
        <v>42309</v>
      </c>
      <c r="AI7" s="59">
        <v>42339</v>
      </c>
      <c r="AJ7" s="59">
        <v>42370</v>
      </c>
      <c r="AK7" s="59">
        <v>42401</v>
      </c>
      <c r="AL7" s="59">
        <v>42431</v>
      </c>
      <c r="AM7" s="59">
        <v>42461</v>
      </c>
      <c r="AN7" s="59">
        <v>42491</v>
      </c>
      <c r="AO7" s="59">
        <v>42522</v>
      </c>
      <c r="AP7" s="59">
        <v>42552</v>
      </c>
      <c r="AQ7" s="59">
        <v>42583</v>
      </c>
      <c r="AR7" s="59">
        <v>42614</v>
      </c>
      <c r="AS7" s="59">
        <v>42644</v>
      </c>
      <c r="AT7" s="59">
        <v>42675</v>
      </c>
      <c r="AU7" s="59">
        <v>42705</v>
      </c>
      <c r="AV7" s="59">
        <v>42736</v>
      </c>
      <c r="AW7" s="59">
        <v>42767</v>
      </c>
      <c r="AX7" s="59">
        <v>42795</v>
      </c>
      <c r="AY7" s="59">
        <v>42826</v>
      </c>
      <c r="AZ7" s="59">
        <v>42856</v>
      </c>
      <c r="BA7" s="59">
        <v>42887</v>
      </c>
      <c r="BB7" s="59">
        <v>42917</v>
      </c>
      <c r="BC7" s="59">
        <v>42948</v>
      </c>
      <c r="BD7" s="59">
        <v>42979</v>
      </c>
      <c r="BE7" s="59">
        <v>43009</v>
      </c>
      <c r="BF7" s="59">
        <v>43040</v>
      </c>
      <c r="BG7" s="59">
        <v>43070</v>
      </c>
      <c r="BH7" s="59">
        <v>43101</v>
      </c>
      <c r="BI7" s="59">
        <v>43132</v>
      </c>
      <c r="BJ7" s="59">
        <v>43160</v>
      </c>
      <c r="BK7" s="59">
        <v>43191</v>
      </c>
      <c r="BL7" s="59">
        <v>43221</v>
      </c>
      <c r="BM7" s="59">
        <v>43252</v>
      </c>
      <c r="BN7" s="59">
        <v>43282</v>
      </c>
      <c r="BO7" s="59">
        <v>43313</v>
      </c>
      <c r="BP7" s="59">
        <v>43344</v>
      </c>
      <c r="BQ7" s="59">
        <v>43374</v>
      </c>
      <c r="BR7" s="59">
        <v>43405</v>
      </c>
      <c r="BS7" s="13"/>
      <c r="BT7" s="60" t="s">
        <v>5</v>
      </c>
      <c r="BU7" s="60" t="s">
        <v>25</v>
      </c>
      <c r="BV7" s="60" t="s">
        <v>26</v>
      </c>
      <c r="BW7" s="73">
        <v>2017</v>
      </c>
      <c r="BX7" s="73">
        <v>2018</v>
      </c>
    </row>
    <row r="8" spans="1:94" s="4" customFormat="1" ht="12.75">
      <c r="A8" s="14"/>
      <c r="B8" s="55" t="s">
        <v>34</v>
      </c>
      <c r="C8" s="47">
        <f>+BR8</f>
        <v>423.16854</v>
      </c>
      <c r="D8" s="47">
        <f>+BF8</f>
        <v>409.4758324148236</v>
      </c>
      <c r="E8" s="47">
        <f>+C8-D8</f>
        <v>13.692707585176379</v>
      </c>
      <c r="F8" s="46">
        <f>+E8/D8</f>
        <v>0.03343959887553227</v>
      </c>
      <c r="G8" s="30"/>
      <c r="H8" s="32">
        <f>+AT8</f>
        <v>401.25249331715537</v>
      </c>
      <c r="I8" s="32">
        <f>+D8-H8</f>
        <v>8.223339097668259</v>
      </c>
      <c r="J8" s="31">
        <f>+(I8/H8)</f>
        <v>0.020494175698911907</v>
      </c>
      <c r="K8" s="20"/>
      <c r="L8" s="16">
        <v>355.4134370300004</v>
      </c>
      <c r="M8" s="16">
        <v>326.14088432999944</v>
      </c>
      <c r="N8" s="16">
        <v>373.3200209509402</v>
      </c>
      <c r="O8" s="16">
        <v>370.17014435529074</v>
      </c>
      <c r="P8" s="16">
        <v>386.4969002513624</v>
      </c>
      <c r="Q8" s="16">
        <v>391.3279003893875</v>
      </c>
      <c r="R8" s="16">
        <v>402.40868360623637</v>
      </c>
      <c r="S8" s="16">
        <v>391.56203850096796</v>
      </c>
      <c r="T8" s="16">
        <v>377.34783664069477</v>
      </c>
      <c r="U8" s="16">
        <v>405.7792950836948</v>
      </c>
      <c r="V8" s="16">
        <v>367.8897936387904</v>
      </c>
      <c r="W8" s="16">
        <v>366.66828490170593</v>
      </c>
      <c r="X8" s="16">
        <v>357.8859802713382</v>
      </c>
      <c r="Y8" s="47">
        <v>331.2383784408594</v>
      </c>
      <c r="Z8" s="47">
        <v>375.86390922907054</v>
      </c>
      <c r="AA8" s="16">
        <v>371.41260391073416</v>
      </c>
      <c r="AB8" s="16">
        <v>392.9246714617659</v>
      </c>
      <c r="AC8" s="16">
        <v>403.75986065780387</v>
      </c>
      <c r="AD8" s="47">
        <v>423.5528464163927</v>
      </c>
      <c r="AE8" s="16">
        <v>422.16484425455775</v>
      </c>
      <c r="AF8" s="47">
        <v>413.9718144392673</v>
      </c>
      <c r="AG8" s="16">
        <v>430.04001686353286</v>
      </c>
      <c r="AH8" s="16">
        <v>379.0567554683413</v>
      </c>
      <c r="AI8" s="16">
        <v>389.31845222370913</v>
      </c>
      <c r="AJ8" s="47">
        <v>377.1329395379166</v>
      </c>
      <c r="AK8" s="47">
        <v>366.29440161053054</v>
      </c>
      <c r="AL8" s="47">
        <v>396.47918158947584</v>
      </c>
      <c r="AM8" s="47">
        <v>399.515475787</v>
      </c>
      <c r="AN8" s="47">
        <v>439.08157198151594</v>
      </c>
      <c r="AO8" s="47">
        <v>430.878742309443</v>
      </c>
      <c r="AP8" s="47">
        <v>443.0182542880955</v>
      </c>
      <c r="AQ8" s="47">
        <v>440.34257733943804</v>
      </c>
      <c r="AR8" s="47">
        <v>440.3637779207893</v>
      </c>
      <c r="AS8" s="47">
        <v>433.7481531097996</v>
      </c>
      <c r="AT8" s="47">
        <v>401.25249331715537</v>
      </c>
      <c r="AU8" s="47">
        <v>406.97864792678666</v>
      </c>
      <c r="AV8" s="47">
        <v>372.8648598849303</v>
      </c>
      <c r="AW8" s="47">
        <v>354.0802626105653</v>
      </c>
      <c r="AX8" s="47">
        <v>398.57726517748716</v>
      </c>
      <c r="AY8" s="47">
        <v>385.057481777757</v>
      </c>
      <c r="AZ8" s="47">
        <v>426.30242231835507</v>
      </c>
      <c r="BA8" s="47">
        <v>433.7846059821564</v>
      </c>
      <c r="BB8" s="47">
        <v>454.42236616418194</v>
      </c>
      <c r="BC8" s="47">
        <v>471.82003946478426</v>
      </c>
      <c r="BD8" s="47">
        <v>441.01754849362027</v>
      </c>
      <c r="BE8" s="47">
        <v>449.5240156907508</v>
      </c>
      <c r="BF8" s="47">
        <v>409.4758324148236</v>
      </c>
      <c r="BG8" s="47">
        <v>409.58123140882446</v>
      </c>
      <c r="BH8" s="47">
        <v>391.21070357204604</v>
      </c>
      <c r="BI8" s="47">
        <v>343.1946515925962</v>
      </c>
      <c r="BJ8" s="47">
        <v>404.00167021533315</v>
      </c>
      <c r="BK8" s="47">
        <v>415.22621439578603</v>
      </c>
      <c r="BL8" s="47">
        <v>430.94466980682733</v>
      </c>
      <c r="BM8" s="47">
        <v>440.8066229389622</v>
      </c>
      <c r="BN8" s="47">
        <v>460.807284</v>
      </c>
      <c r="BO8" s="47">
        <v>459.46092799999997</v>
      </c>
      <c r="BP8" s="47">
        <v>425.82763199999994</v>
      </c>
      <c r="BQ8" s="47">
        <v>440.368992</v>
      </c>
      <c r="BR8" s="47">
        <v>423.16854</v>
      </c>
      <c r="BS8" s="45"/>
      <c r="BT8" s="16">
        <f>+SUM(L8:W8)</f>
        <v>4514.525219679072</v>
      </c>
      <c r="BU8" s="16">
        <f>+SUM(X8:AI8)</f>
        <v>4691.190133637373</v>
      </c>
      <c r="BV8" s="37">
        <f>+SUM(AJ8:AU8)</f>
        <v>4975.086216717947</v>
      </c>
      <c r="BW8" s="47">
        <f>+SUM(AV8:BG8)</f>
        <v>5006.507931388236</v>
      </c>
      <c r="BX8" s="47">
        <f>+SUM(BH8:BR8)</f>
        <v>4635.01790852155</v>
      </c>
      <c r="BY8" s="45"/>
      <c r="BZ8" s="45"/>
      <c r="CA8" s="45"/>
      <c r="CB8" s="45"/>
      <c r="CC8" s="45"/>
      <c r="CD8" s="45"/>
      <c r="CE8" s="45"/>
      <c r="CF8" s="45"/>
      <c r="CG8" s="45"/>
      <c r="CH8" s="45"/>
      <c r="CI8" s="45"/>
      <c r="CJ8" s="45"/>
      <c r="CK8" s="45"/>
      <c r="CL8" s="45"/>
      <c r="CM8" s="45"/>
      <c r="CN8" s="45"/>
      <c r="CO8" s="45"/>
      <c r="CP8" s="45"/>
    </row>
    <row r="9" spans="1:76" s="45" customFormat="1" ht="12.75" outlineLevel="1">
      <c r="A9" s="14"/>
      <c r="B9" s="15"/>
      <c r="C9" s="47"/>
      <c r="D9" s="47"/>
      <c r="E9" s="47"/>
      <c r="F9" s="46"/>
      <c r="G9" s="35"/>
      <c r="H9" s="47"/>
      <c r="I9" s="47"/>
      <c r="J9" s="46"/>
      <c r="K9" s="2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T9" s="72"/>
      <c r="BU9" s="47"/>
      <c r="BV9" s="47"/>
      <c r="BW9" s="47"/>
      <c r="BX9" s="47"/>
    </row>
    <row r="10" spans="1:94" s="4" customFormat="1" ht="12.75">
      <c r="A10" s="14"/>
      <c r="B10" s="55" t="s">
        <v>6</v>
      </c>
      <c r="C10" s="47">
        <f>+(C12/C8)*100</f>
        <v>14.083018263872582</v>
      </c>
      <c r="D10" s="47">
        <f>+(D12/D8)*100</f>
        <v>11.642415189900024</v>
      </c>
      <c r="E10" s="47">
        <f>+C10-D10</f>
        <v>2.4406030739725573</v>
      </c>
      <c r="F10" s="46">
        <f>+E10/D10</f>
        <v>0.20963030729996798</v>
      </c>
      <c r="G10" s="35"/>
      <c r="H10" s="47">
        <f>+(H12/H8)*100</f>
        <v>11.598296163857142</v>
      </c>
      <c r="I10" s="47">
        <f>+D10-H10</f>
        <v>0.04411902604288187</v>
      </c>
      <c r="J10" s="46">
        <f>+(I10/H10)</f>
        <v>0.0038039230434868975</v>
      </c>
      <c r="K10" s="20"/>
      <c r="L10" s="35">
        <f aca="true" t="shared" si="0" ref="L10:BA10">+(L12/L8)*100</f>
        <v>17.721417074344746</v>
      </c>
      <c r="M10" s="35">
        <f t="shared" si="0"/>
        <v>18.03898785070736</v>
      </c>
      <c r="N10" s="35">
        <f t="shared" si="0"/>
        <v>17.982761059492354</v>
      </c>
      <c r="O10" s="35">
        <f t="shared" si="0"/>
        <v>18.262266179894837</v>
      </c>
      <c r="P10" s="35">
        <f t="shared" si="0"/>
        <v>18.01140083982366</v>
      </c>
      <c r="Q10" s="35">
        <f t="shared" si="0"/>
        <v>18.478677427472313</v>
      </c>
      <c r="R10" s="35">
        <f t="shared" si="0"/>
        <v>19.036322568702758</v>
      </c>
      <c r="S10" s="35">
        <f t="shared" si="0"/>
        <v>18.251987173217408</v>
      </c>
      <c r="T10" s="35">
        <f t="shared" si="0"/>
        <v>18.244312243377774</v>
      </c>
      <c r="U10" s="35">
        <f t="shared" si="0"/>
        <v>17.707735042673526</v>
      </c>
      <c r="V10" s="35">
        <f t="shared" si="0"/>
        <v>16.30881531255509</v>
      </c>
      <c r="W10" s="35">
        <f t="shared" si="0"/>
        <v>14.112271325496195</v>
      </c>
      <c r="X10" s="35">
        <f t="shared" si="0"/>
        <v>13.762376610497299</v>
      </c>
      <c r="Y10" s="35">
        <f t="shared" si="0"/>
        <v>13.370195394485746</v>
      </c>
      <c r="Z10" s="35">
        <f t="shared" si="0"/>
        <v>13.260408985805716</v>
      </c>
      <c r="AA10" s="35">
        <f t="shared" si="0"/>
        <v>13.209981467637485</v>
      </c>
      <c r="AB10" s="35">
        <f t="shared" si="0"/>
        <v>13.69362815928184</v>
      </c>
      <c r="AC10" s="35">
        <f t="shared" si="0"/>
        <v>14.442599443444976</v>
      </c>
      <c r="AD10" s="35">
        <f t="shared" si="0"/>
        <v>14.069333801587192</v>
      </c>
      <c r="AE10" s="35">
        <f t="shared" si="0"/>
        <v>12.937876590514039</v>
      </c>
      <c r="AF10" s="35">
        <f t="shared" si="0"/>
        <v>12.127939496942924</v>
      </c>
      <c r="AG10" s="35">
        <f t="shared" si="0"/>
        <v>12.182018074051342</v>
      </c>
      <c r="AH10" s="35">
        <f t="shared" si="0"/>
        <v>11.91957786585108</v>
      </c>
      <c r="AI10" s="35">
        <f t="shared" si="0"/>
        <v>11.15012731866357</v>
      </c>
      <c r="AJ10" s="35">
        <f t="shared" si="0"/>
        <v>10.113362328689403</v>
      </c>
      <c r="AK10" s="35">
        <f t="shared" si="0"/>
        <v>10.142981877815473</v>
      </c>
      <c r="AL10" s="35">
        <f t="shared" si="0"/>
        <v>10.028898168494827</v>
      </c>
      <c r="AM10" s="35">
        <f t="shared" si="0"/>
        <v>10.50189706786794</v>
      </c>
      <c r="AN10" s="35">
        <f t="shared" si="0"/>
        <v>10.602891787866689</v>
      </c>
      <c r="AO10" s="35">
        <f t="shared" si="0"/>
        <v>11.373686793488137</v>
      </c>
      <c r="AP10" s="35">
        <f t="shared" si="0"/>
        <v>11.52000224066171</v>
      </c>
      <c r="AQ10" s="35">
        <f t="shared" si="0"/>
        <v>11.000539493493092</v>
      </c>
      <c r="AR10" s="35">
        <f t="shared" si="0"/>
        <v>10.962818398722792</v>
      </c>
      <c r="AS10" s="35">
        <f t="shared" si="0"/>
        <v>11.040585773932047</v>
      </c>
      <c r="AT10" s="35">
        <f t="shared" si="0"/>
        <v>11.598296163857142</v>
      </c>
      <c r="AU10" s="35">
        <f t="shared" si="0"/>
        <v>11.129412570500786</v>
      </c>
      <c r="AV10" s="35">
        <f t="shared" si="0"/>
        <v>12.463399312041341</v>
      </c>
      <c r="AW10" s="35">
        <f t="shared" si="0"/>
        <v>13.09389539664151</v>
      </c>
      <c r="AX10" s="35">
        <f t="shared" si="0"/>
        <v>12.112797878380027</v>
      </c>
      <c r="AY10" s="35">
        <f t="shared" si="0"/>
        <v>11.786287721103468</v>
      </c>
      <c r="AZ10" s="35">
        <f t="shared" si="0"/>
        <v>11.491143749688248</v>
      </c>
      <c r="BA10" s="35">
        <f t="shared" si="0"/>
        <v>11.560155073314935</v>
      </c>
      <c r="BB10" s="35">
        <f aca="true" t="shared" si="1" ref="BB10:BG10">+(BB12/BB8)*100</f>
        <v>11.175312004418522</v>
      </c>
      <c r="BC10" s="35">
        <f t="shared" si="1"/>
        <v>11.121973578397633</v>
      </c>
      <c r="BD10" s="35">
        <f t="shared" si="1"/>
        <v>11.20110866973703</v>
      </c>
      <c r="BE10" s="35">
        <f t="shared" si="1"/>
        <v>11.437707725701122</v>
      </c>
      <c r="BF10" s="35">
        <f t="shared" si="1"/>
        <v>11.642415189900024</v>
      </c>
      <c r="BG10" s="35">
        <f t="shared" si="1"/>
        <v>11.941322365080993</v>
      </c>
      <c r="BH10" s="35">
        <f aca="true" t="shared" si="2" ref="BH10:BN10">+(BH12/BH8)*100</f>
        <v>11.644934255932611</v>
      </c>
      <c r="BI10" s="35">
        <f t="shared" si="2"/>
        <v>11.493651425032574</v>
      </c>
      <c r="BJ10" s="35">
        <f t="shared" si="2"/>
        <v>12.034760031831125</v>
      </c>
      <c r="BK10" s="35">
        <f t="shared" si="2"/>
        <v>11.922290272297799</v>
      </c>
      <c r="BL10" s="35">
        <f t="shared" si="2"/>
        <v>12.504811653801685</v>
      </c>
      <c r="BM10" s="35">
        <f t="shared" si="2"/>
        <v>13.195627636131402</v>
      </c>
      <c r="BN10" s="35">
        <f t="shared" si="2"/>
        <v>13.299165312461463</v>
      </c>
      <c r="BO10" s="35">
        <f>+(BO12/BO8)*100</f>
        <v>13.350276994393012</v>
      </c>
      <c r="BP10" s="35">
        <f>+(BP12/BP8)*100</f>
        <v>13.710712375715664</v>
      </c>
      <c r="BQ10" s="35">
        <f>+(BQ12/BQ8)*100</f>
        <v>13.531042660848325</v>
      </c>
      <c r="BR10" s="35">
        <f>+(BR12/BR8)*100</f>
        <v>14.083018263872582</v>
      </c>
      <c r="BS10" s="45"/>
      <c r="BT10" s="18">
        <f>+(BT12/BT8)*100</f>
        <v>17.698238512879033</v>
      </c>
      <c r="BU10" s="18">
        <f>+(BU12/BU8)*100</f>
        <v>13.002244854834128</v>
      </c>
      <c r="BV10" s="35">
        <f>+(BV12/BV8)*100</f>
        <v>10.85505833055202</v>
      </c>
      <c r="BW10" s="35">
        <f>+(BW12/BW8)*100</f>
        <v>11.710473430295167</v>
      </c>
      <c r="BX10" s="35">
        <f>+(BX12/BX8)*100</f>
        <v>12.845067995993418</v>
      </c>
      <c r="BY10" s="45"/>
      <c r="BZ10" s="45"/>
      <c r="CA10" s="45"/>
      <c r="CB10" s="45"/>
      <c r="CC10" s="45"/>
      <c r="CD10" s="45"/>
      <c r="CE10" s="45"/>
      <c r="CF10" s="45"/>
      <c r="CG10" s="45"/>
      <c r="CH10" s="45"/>
      <c r="CI10" s="45"/>
      <c r="CJ10" s="45"/>
      <c r="CK10" s="45"/>
      <c r="CL10" s="45"/>
      <c r="CM10" s="45"/>
      <c r="CN10" s="45"/>
      <c r="CO10" s="45"/>
      <c r="CP10" s="45"/>
    </row>
    <row r="11" spans="1:76" s="45" customFormat="1" ht="12.75" outlineLevel="1">
      <c r="A11" s="14"/>
      <c r="B11" s="15"/>
      <c r="C11" s="47"/>
      <c r="D11" s="47"/>
      <c r="E11" s="47"/>
      <c r="F11" s="46"/>
      <c r="G11" s="35"/>
      <c r="H11" s="47"/>
      <c r="I11" s="47"/>
      <c r="J11" s="46"/>
      <c r="K11" s="2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52"/>
      <c r="AZ11" s="52"/>
      <c r="BA11" s="52"/>
      <c r="BB11" s="52"/>
      <c r="BC11" s="52"/>
      <c r="BD11" s="52"/>
      <c r="BE11" s="52"/>
      <c r="BF11" s="52"/>
      <c r="BG11" s="52"/>
      <c r="BH11" s="52"/>
      <c r="BI11" s="52"/>
      <c r="BJ11" s="52"/>
      <c r="BK11" s="52"/>
      <c r="BL11" s="52"/>
      <c r="BM11" s="52"/>
      <c r="BN11" s="52"/>
      <c r="BO11" s="52"/>
      <c r="BP11" s="52"/>
      <c r="BQ11" s="52"/>
      <c r="BR11" s="52"/>
      <c r="BT11" s="47"/>
      <c r="BU11" s="47"/>
      <c r="BV11" s="47"/>
      <c r="BW11" s="47"/>
      <c r="BX11" s="47"/>
    </row>
    <row r="12" spans="1:94" s="4" customFormat="1" ht="12.75">
      <c r="A12" s="14"/>
      <c r="B12" s="55" t="s">
        <v>7</v>
      </c>
      <c r="C12" s="47">
        <f>+BR12</f>
        <v>59.59490277516295</v>
      </c>
      <c r="D12" s="47">
        <f>+BF12</f>
        <v>47.67287651203299</v>
      </c>
      <c r="E12" s="47">
        <f>+C12-D12</f>
        <v>11.922026263129958</v>
      </c>
      <c r="F12" s="46">
        <f>+E12/D12</f>
        <v>0.25007985956376577</v>
      </c>
      <c r="G12" s="35"/>
      <c r="H12" s="47">
        <f>+AT12</f>
        <v>46.53845253978477</v>
      </c>
      <c r="I12" s="47">
        <f>+D12-H12</f>
        <v>1.1344239722482214</v>
      </c>
      <c r="J12" s="46">
        <f>+(I12/H12)</f>
        <v>0.024376057009597076</v>
      </c>
      <c r="K12" s="20"/>
      <c r="L12" s="47">
        <v>62.98429751435</v>
      </c>
      <c r="M12" s="47">
        <v>58.83251450047815</v>
      </c>
      <c r="N12" s="47">
        <v>67.13324735485438</v>
      </c>
      <c r="O12" s="47">
        <v>67.60145708066416</v>
      </c>
      <c r="P12" s="47">
        <v>69.6135059377663</v>
      </c>
      <c r="Q12" s="47">
        <v>72.31222039665508</v>
      </c>
      <c r="R12" s="47">
        <v>76.60381505575364</v>
      </c>
      <c r="S12" s="47">
        <v>71.46785304238527</v>
      </c>
      <c r="T12" s="47">
        <v>68.84451756035944</v>
      </c>
      <c r="U12" s="47">
        <v>71.85432243144903</v>
      </c>
      <c r="V12" s="47">
        <v>59.99846699829038</v>
      </c>
      <c r="W12" s="47">
        <v>51.74522322987214</v>
      </c>
      <c r="X12" s="47">
        <v>49.253616441111625</v>
      </c>
      <c r="Y12" s="47">
        <v>44.28721841906904</v>
      </c>
      <c r="Z12" s="47">
        <v>49.841091593812315</v>
      </c>
      <c r="AA12" s="47">
        <v>49.0635361450778</v>
      </c>
      <c r="AB12" s="47">
        <v>53.805643456054035</v>
      </c>
      <c r="AC12" s="47">
        <v>58.31341938821819</v>
      </c>
      <c r="AD12" s="47">
        <v>59.59106378844622</v>
      </c>
      <c r="AE12" s="47">
        <v>54.61916655819048</v>
      </c>
      <c r="AF12" s="47">
        <v>50.20625118959117</v>
      </c>
      <c r="AG12" s="47">
        <v>52.38755257996901</v>
      </c>
      <c r="AH12" s="47">
        <v>45.18196512381766</v>
      </c>
      <c r="AI12" s="47">
        <v>43.40950309799397</v>
      </c>
      <c r="AJ12" s="47">
        <v>38.14082063630664</v>
      </c>
      <c r="AK12" s="47">
        <v>37.15317477480874</v>
      </c>
      <c r="AL12" s="47">
        <v>39.76249338089022</v>
      </c>
      <c r="AM12" s="47">
        <v>41.9567040373536</v>
      </c>
      <c r="AN12" s="47">
        <v>46.55534393766412</v>
      </c>
      <c r="AO12" s="47">
        <v>49.0067986099969</v>
      </c>
      <c r="AP12" s="47">
        <v>51.035712820529</v>
      </c>
      <c r="AQ12" s="47">
        <v>48.44005912689024</v>
      </c>
      <c r="AR12" s="47">
        <v>48.27628126721106</v>
      </c>
      <c r="AS12" s="47">
        <v>47.88833688693353</v>
      </c>
      <c r="AT12" s="47">
        <v>46.53845253978477</v>
      </c>
      <c r="AU12" s="47">
        <v>45.294332801617934</v>
      </c>
      <c r="AV12" s="47">
        <v>46.471636381742314</v>
      </c>
      <c r="AW12" s="47">
        <v>46.36289920638098</v>
      </c>
      <c r="AX12" s="47">
        <v>48.2788585201238</v>
      </c>
      <c r="AY12" s="47">
        <v>45.383982693962</v>
      </c>
      <c r="AZ12" s="47">
        <v>48.98702415700526</v>
      </c>
      <c r="BA12" s="47">
        <v>50.14617313570545</v>
      </c>
      <c r="BB12" s="47">
        <v>50.78311723670852</v>
      </c>
      <c r="BC12" s="47">
        <v>52.47570012685859</v>
      </c>
      <c r="BD12" s="47">
        <v>49.398854859380606</v>
      </c>
      <c r="BE12" s="47">
        <v>51.41524307154293</v>
      </c>
      <c r="BF12" s="47">
        <v>47.67287651203299</v>
      </c>
      <c r="BG12" s="47">
        <v>48.909415189396086</v>
      </c>
      <c r="BH12" s="47">
        <v>45.55622923313617</v>
      </c>
      <c r="BI12" s="47">
        <v>39.44559696340801</v>
      </c>
      <c r="BJ12" s="47">
        <v>48.6206315350051</v>
      </c>
      <c r="BK12" s="47">
        <v>49.5044745669392</v>
      </c>
      <c r="BL12" s="47">
        <v>53.88881929144134</v>
      </c>
      <c r="BM12" s="47">
        <v>58.16720055843125</v>
      </c>
      <c r="BN12" s="47">
        <v>61.28352247102378</v>
      </c>
      <c r="BO12" s="47">
        <v>61.339306569008635</v>
      </c>
      <c r="BP12" s="47">
        <v>58.38400183984095</v>
      </c>
      <c r="BQ12" s="47">
        <v>59.58651617266774</v>
      </c>
      <c r="BR12" s="47">
        <v>59.59490277516295</v>
      </c>
      <c r="BS12" s="45"/>
      <c r="BT12" s="16">
        <f>+SUM(L12:W12)</f>
        <v>798.9914411028782</v>
      </c>
      <c r="BU12" s="16">
        <f>+SUM(X12:AI12)</f>
        <v>609.9600277813515</v>
      </c>
      <c r="BV12" s="37">
        <f>+SUM(AJ12:AU12)</f>
        <v>540.0485108199867</v>
      </c>
      <c r="BW12" s="47">
        <f>+SUM(AV12:BG12)</f>
        <v>586.2857810908396</v>
      </c>
      <c r="BX12" s="47">
        <f>+SUM(BH12:BR12)</f>
        <v>595.3712019760651</v>
      </c>
      <c r="BY12" s="45"/>
      <c r="BZ12" s="45"/>
      <c r="CA12" s="45"/>
      <c r="CB12" s="45"/>
      <c r="CC12" s="45"/>
      <c r="CD12" s="45"/>
      <c r="CE12" s="45"/>
      <c r="CF12" s="45"/>
      <c r="CG12" s="45"/>
      <c r="CH12" s="45"/>
      <c r="CI12" s="45"/>
      <c r="CJ12" s="45"/>
      <c r="CK12" s="45"/>
      <c r="CL12" s="45"/>
      <c r="CM12" s="45"/>
      <c r="CN12" s="45"/>
      <c r="CO12" s="45"/>
      <c r="CP12" s="45"/>
    </row>
    <row r="13" spans="1:76" s="45" customFormat="1" ht="12.75" outlineLevel="1">
      <c r="A13" s="14"/>
      <c r="B13" s="15"/>
      <c r="C13" s="47"/>
      <c r="D13" s="47"/>
      <c r="E13" s="47"/>
      <c r="F13" s="46"/>
      <c r="G13" s="35"/>
      <c r="H13" s="47"/>
      <c r="I13" s="47"/>
      <c r="J13" s="46"/>
      <c r="K13" s="2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T13" s="47"/>
      <c r="BU13" s="47"/>
      <c r="BV13" s="47"/>
      <c r="BW13" s="47"/>
      <c r="BX13" s="47"/>
    </row>
    <row r="14" spans="1:94" s="4" customFormat="1" ht="12.75">
      <c r="A14" s="21"/>
      <c r="B14" s="55" t="s">
        <v>8</v>
      </c>
      <c r="C14" s="47">
        <f>+BR14</f>
        <v>301.53681998140786</v>
      </c>
      <c r="D14" s="47">
        <f>+BF14</f>
        <v>264.1869587828433</v>
      </c>
      <c r="E14" s="47">
        <f>+C14-D14</f>
        <v>37.349861198564554</v>
      </c>
      <c r="F14" s="46">
        <f>+E14/D14</f>
        <v>0.14137662725912764</v>
      </c>
      <c r="G14" s="35"/>
      <c r="H14" s="47">
        <f>+AT14</f>
        <v>246.561221541935</v>
      </c>
      <c r="I14" s="47">
        <f>+D14-H14</f>
        <v>17.625737240908308</v>
      </c>
      <c r="J14" s="46">
        <f>+(I14/H14)</f>
        <v>0.07148625047637724</v>
      </c>
      <c r="K14" s="20"/>
      <c r="L14" s="16">
        <v>310.161869796142</v>
      </c>
      <c r="M14" s="16">
        <v>272.131975132807</v>
      </c>
      <c r="N14" s="16">
        <v>306.770839590832</v>
      </c>
      <c r="O14" s="16">
        <v>300.906638601786</v>
      </c>
      <c r="P14" s="16">
        <v>322.030847618568</v>
      </c>
      <c r="Q14" s="16">
        <v>320.461669199787</v>
      </c>
      <c r="R14" s="16">
        <v>319.978423851174</v>
      </c>
      <c r="S14" s="16">
        <v>313.178318314459</v>
      </c>
      <c r="T14" s="16">
        <v>300.656228003859</v>
      </c>
      <c r="U14" s="16">
        <v>303.791262709414</v>
      </c>
      <c r="V14" s="16">
        <v>274.721163761305</v>
      </c>
      <c r="W14" s="16">
        <v>280.516011528047</v>
      </c>
      <c r="X14" s="16">
        <v>210.170439706754</v>
      </c>
      <c r="Y14" s="16">
        <v>198.42592843990028</v>
      </c>
      <c r="Z14" s="16">
        <v>246.370713235919</v>
      </c>
      <c r="AA14" s="16">
        <v>242.162357150865</v>
      </c>
      <c r="AB14" s="16">
        <v>247.357244012583</v>
      </c>
      <c r="AC14" s="16">
        <v>306.858187255943</v>
      </c>
      <c r="AD14" s="16">
        <v>309.19913153539216</v>
      </c>
      <c r="AE14" s="16">
        <v>315.004586702466</v>
      </c>
      <c r="AF14" s="16">
        <v>319.691643123676</v>
      </c>
      <c r="AG14" s="16">
        <v>333.491583731531</v>
      </c>
      <c r="AH14" s="16">
        <v>281.664339924253</v>
      </c>
      <c r="AI14" s="16">
        <v>275.727564597817</v>
      </c>
      <c r="AJ14" s="34">
        <v>268.813065145338</v>
      </c>
      <c r="AK14" s="34">
        <v>266.573867516104</v>
      </c>
      <c r="AL14" s="47">
        <v>321.971547717436</v>
      </c>
      <c r="AM14" s="47">
        <v>318.887571980544</v>
      </c>
      <c r="AN14" s="47">
        <v>343.670535175168</v>
      </c>
      <c r="AO14" s="47">
        <v>340.191524760819</v>
      </c>
      <c r="AP14" s="47">
        <v>350.96771287374</v>
      </c>
      <c r="AQ14" s="47">
        <v>267.563680318317</v>
      </c>
      <c r="AR14" s="47">
        <v>323.693801988703</v>
      </c>
      <c r="AS14" s="47">
        <v>280.503567910283</v>
      </c>
      <c r="AT14" s="47">
        <v>246.561221541935</v>
      </c>
      <c r="AU14" s="47">
        <v>240.546208470364</v>
      </c>
      <c r="AV14" s="47">
        <v>116.274439691858</v>
      </c>
      <c r="AW14" s="47">
        <v>104.99134699289742</v>
      </c>
      <c r="AX14" s="47">
        <v>153.17316109797113</v>
      </c>
      <c r="AY14" s="47">
        <v>188.89892426032966</v>
      </c>
      <c r="AZ14" s="47">
        <v>290.710566532007</v>
      </c>
      <c r="BA14" s="47">
        <v>261.78385528631156</v>
      </c>
      <c r="BB14" s="47">
        <v>292.7816977765846</v>
      </c>
      <c r="BC14" s="47">
        <v>288.92323865460514</v>
      </c>
      <c r="BD14" s="47">
        <v>283.07135059809036</v>
      </c>
      <c r="BE14" s="47">
        <v>292.39190356789675</v>
      </c>
      <c r="BF14" s="47">
        <v>264.1869587828433</v>
      </c>
      <c r="BG14" s="47">
        <v>233.46640705134675</v>
      </c>
      <c r="BH14" s="47">
        <v>257.9369341364822</v>
      </c>
      <c r="BI14" s="47">
        <v>244.537626582147</v>
      </c>
      <c r="BJ14" s="47">
        <v>269.08285555647626</v>
      </c>
      <c r="BK14" s="47">
        <v>258.6763999558456</v>
      </c>
      <c r="BL14" s="47">
        <v>293.9349604169418</v>
      </c>
      <c r="BM14" s="47">
        <v>296.9191214389739</v>
      </c>
      <c r="BN14" s="47">
        <v>328.4468672088353</v>
      </c>
      <c r="BO14" s="47">
        <v>315.28729016180324</v>
      </c>
      <c r="BP14" s="47">
        <v>317.24817036697874</v>
      </c>
      <c r="BQ14" s="47">
        <v>311.76161138957997</v>
      </c>
      <c r="BR14" s="47">
        <v>301.53681998140786</v>
      </c>
      <c r="BS14" s="79"/>
      <c r="BT14" s="16">
        <f>+SUM(L14:W14)</f>
        <v>3625.30524810818</v>
      </c>
      <c r="BU14" s="16">
        <f>+SUM(X14:AI14)</f>
        <v>3286.1237194170994</v>
      </c>
      <c r="BV14" s="37">
        <f>+SUM(AJ14:AU14)</f>
        <v>3569.944305398751</v>
      </c>
      <c r="BW14" s="47">
        <f>+SUM(AV14:BG14)</f>
        <v>2770.653850292742</v>
      </c>
      <c r="BX14" s="47">
        <f>+SUM(BH14:BR14)</f>
        <v>3195.368657195472</v>
      </c>
      <c r="BY14" s="45"/>
      <c r="BZ14" s="45"/>
      <c r="CA14" s="45"/>
      <c r="CB14" s="45"/>
      <c r="CC14" s="45"/>
      <c r="CD14" s="45"/>
      <c r="CE14" s="45"/>
      <c r="CF14" s="45"/>
      <c r="CG14" s="45"/>
      <c r="CH14" s="45"/>
      <c r="CI14" s="45"/>
      <c r="CJ14" s="45"/>
      <c r="CK14" s="45"/>
      <c r="CL14" s="45"/>
      <c r="CM14" s="45"/>
      <c r="CN14" s="45"/>
      <c r="CO14" s="45"/>
      <c r="CP14" s="45"/>
    </row>
    <row r="15" spans="1:76" s="45" customFormat="1" ht="12.75" outlineLevel="1">
      <c r="A15" s="21"/>
      <c r="B15" s="15"/>
      <c r="C15" s="47"/>
      <c r="D15" s="47"/>
      <c r="E15" s="47"/>
      <c r="F15" s="46"/>
      <c r="G15" s="35"/>
      <c r="H15" s="47"/>
      <c r="I15" s="47"/>
      <c r="J15" s="46"/>
      <c r="K15" s="20"/>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80"/>
      <c r="BT15" s="47"/>
      <c r="BU15" s="47"/>
      <c r="BV15" s="47"/>
      <c r="BW15" s="47"/>
      <c r="BX15" s="47"/>
    </row>
    <row r="16" spans="1:94" s="4" customFormat="1" ht="12.75">
      <c r="A16" s="21"/>
      <c r="B16" s="55" t="s">
        <v>9</v>
      </c>
      <c r="C16" s="47">
        <f>+(C18/C14)*100</f>
        <v>12.031375271734257</v>
      </c>
      <c r="D16" s="47">
        <f>+(D18/D14)*100</f>
        <v>10.764555100404312</v>
      </c>
      <c r="E16" s="47">
        <f>+C16-D16</f>
        <v>1.266820171329945</v>
      </c>
      <c r="F16" s="46">
        <f>+E16/D16</f>
        <v>0.11768439656947492</v>
      </c>
      <c r="G16" s="35"/>
      <c r="H16" s="47">
        <f>+(H18/H14)*100</f>
        <v>11.832222447100078</v>
      </c>
      <c r="I16" s="47">
        <f>+D16-H16</f>
        <v>-1.0676673466957656</v>
      </c>
      <c r="J16" s="46">
        <f>+(I16/H16)</f>
        <v>-0.09023388052997912</v>
      </c>
      <c r="K16" s="20"/>
      <c r="L16" s="35">
        <f aca="true" t="shared" si="3" ref="L16:BC16">+(L18/L14)*100</f>
        <v>18.016437998753762</v>
      </c>
      <c r="M16" s="35">
        <f t="shared" si="3"/>
        <v>18.220986385101284</v>
      </c>
      <c r="N16" s="35">
        <f t="shared" si="3"/>
        <v>18.286439710032738</v>
      </c>
      <c r="O16" s="35">
        <f t="shared" si="3"/>
        <v>18.210415857010343</v>
      </c>
      <c r="P16" s="35">
        <f t="shared" si="3"/>
        <v>18.13356685972181</v>
      </c>
      <c r="Q16" s="35">
        <f t="shared" si="3"/>
        <v>18.39195559031623</v>
      </c>
      <c r="R16" s="35">
        <f t="shared" si="3"/>
        <v>18.690716913177134</v>
      </c>
      <c r="S16" s="35">
        <f t="shared" si="3"/>
        <v>18.14386568798157</v>
      </c>
      <c r="T16" s="35">
        <f t="shared" si="3"/>
        <v>18.063313745021556</v>
      </c>
      <c r="U16" s="35">
        <f t="shared" si="3"/>
        <v>17.32064382024007</v>
      </c>
      <c r="V16" s="35">
        <f t="shared" si="3"/>
        <v>15.900859711689014</v>
      </c>
      <c r="W16" s="35">
        <f t="shared" si="3"/>
        <v>14.585804658416986</v>
      </c>
      <c r="X16" s="35">
        <f t="shared" si="3"/>
        <v>13.262241369820604</v>
      </c>
      <c r="Y16" s="35">
        <f t="shared" si="3"/>
        <v>12.599465705096973</v>
      </c>
      <c r="Z16" s="35">
        <f t="shared" si="3"/>
        <v>13.02327170406816</v>
      </c>
      <c r="AA16" s="35">
        <f t="shared" si="3"/>
        <v>12.77661019469957</v>
      </c>
      <c r="AB16" s="35">
        <f t="shared" si="3"/>
        <v>13.158644611871534</v>
      </c>
      <c r="AC16" s="35">
        <f t="shared" si="3"/>
        <v>13.833341313149516</v>
      </c>
      <c r="AD16" s="35">
        <f t="shared" si="3"/>
        <v>13.480615789434843</v>
      </c>
      <c r="AE16" s="35">
        <f t="shared" si="3"/>
        <v>12.387645224782247</v>
      </c>
      <c r="AF16" s="35">
        <f t="shared" si="3"/>
        <v>11.620128074256476</v>
      </c>
      <c r="AG16" s="35">
        <f t="shared" si="3"/>
        <v>11.652481092436417</v>
      </c>
      <c r="AH16" s="35">
        <f t="shared" si="3"/>
        <v>11.772633467139453</v>
      </c>
      <c r="AI16" s="35">
        <f t="shared" si="3"/>
        <v>11.378053581731166</v>
      </c>
      <c r="AJ16" s="35">
        <f t="shared" si="3"/>
        <v>10.40426850581669</v>
      </c>
      <c r="AK16" s="35">
        <f t="shared" si="3"/>
        <v>9.865118541591823</v>
      </c>
      <c r="AL16" s="35">
        <f t="shared" si="3"/>
        <v>9.493024748104014</v>
      </c>
      <c r="AM16" s="35">
        <f t="shared" si="3"/>
        <v>9.95181268428389</v>
      </c>
      <c r="AN16" s="35">
        <f t="shared" si="3"/>
        <v>10.265324379924628</v>
      </c>
      <c r="AO16" s="35">
        <f t="shared" si="3"/>
        <v>10.89579681837329</v>
      </c>
      <c r="AP16" s="35">
        <f t="shared" si="3"/>
        <v>10.747027764072104</v>
      </c>
      <c r="AQ16" s="35">
        <f t="shared" si="3"/>
        <v>10.687209464568646</v>
      </c>
      <c r="AR16" s="35">
        <f t="shared" si="3"/>
        <v>9.985151054342717</v>
      </c>
      <c r="AS16" s="35">
        <f t="shared" si="3"/>
        <v>10.611400706832518</v>
      </c>
      <c r="AT16" s="35">
        <f t="shared" si="3"/>
        <v>11.832222447100078</v>
      </c>
      <c r="AU16" s="35">
        <f t="shared" si="3"/>
        <v>11.334342601707956</v>
      </c>
      <c r="AV16" s="35">
        <f t="shared" si="3"/>
        <v>12.374427605563389</v>
      </c>
      <c r="AW16" s="35">
        <f t="shared" si="3"/>
        <v>12.755718957422799</v>
      </c>
      <c r="AX16" s="35">
        <f t="shared" si="3"/>
        <v>11.39453198174472</v>
      </c>
      <c r="AY16" s="35">
        <f t="shared" si="3"/>
        <v>11.560985315334944</v>
      </c>
      <c r="AZ16" s="35">
        <f t="shared" si="3"/>
        <v>11.069554720762401</v>
      </c>
      <c r="BA16" s="35">
        <f t="shared" si="3"/>
        <v>11.121420838700146</v>
      </c>
      <c r="BB16" s="35">
        <f t="shared" si="3"/>
        <v>10.514812818282532</v>
      </c>
      <c r="BC16" s="35">
        <f t="shared" si="3"/>
        <v>10.605636269421112</v>
      </c>
      <c r="BD16" s="35">
        <f aca="true" t="shared" si="4" ref="BD16:BN16">+(BD18/BD14)*100</f>
        <v>10.58520775007561</v>
      </c>
      <c r="BE16" s="35">
        <f t="shared" si="4"/>
        <v>10.695091614786614</v>
      </c>
      <c r="BF16" s="35">
        <f t="shared" si="4"/>
        <v>10.764555100404312</v>
      </c>
      <c r="BG16" s="35">
        <f t="shared" si="4"/>
        <v>10.976367192736387</v>
      </c>
      <c r="BH16" s="35">
        <f t="shared" si="4"/>
        <v>10.906382829616328</v>
      </c>
      <c r="BI16" s="35">
        <f t="shared" si="4"/>
        <v>10.710372782599025</v>
      </c>
      <c r="BJ16" s="35">
        <f t="shared" si="4"/>
        <v>10.982041107723168</v>
      </c>
      <c r="BK16" s="35">
        <f t="shared" si="4"/>
        <v>10.720549237253483</v>
      </c>
      <c r="BL16" s="35">
        <f t="shared" si="4"/>
        <v>11.032735097384375</v>
      </c>
      <c r="BM16" s="35">
        <f t="shared" si="4"/>
        <v>11.36816793877831</v>
      </c>
      <c r="BN16" s="35">
        <f t="shared" si="4"/>
        <v>11.553922809256747</v>
      </c>
      <c r="BO16" s="35">
        <f>+(BO18/BO14)*100</f>
        <v>11.504897419978438</v>
      </c>
      <c r="BP16" s="35">
        <f>+(BP18/BP14)*100</f>
        <v>11.903901739356108</v>
      </c>
      <c r="BQ16" s="35">
        <f>+(BQ18/BQ14)*100</f>
        <v>11.357664715087369</v>
      </c>
      <c r="BR16" s="35">
        <f>+(BR18/BR14)*100</f>
        <v>12.031375271734257</v>
      </c>
      <c r="BS16" s="45"/>
      <c r="BT16" s="18">
        <f>+(BT18/BT14)*100</f>
        <v>17.70467335750294</v>
      </c>
      <c r="BU16" s="18">
        <f>+(BU18/BU14)*100</f>
        <v>12.541863360348938</v>
      </c>
      <c r="BV16" s="35">
        <f>+(BV18/BV14)*100</f>
        <v>10.469340667815493</v>
      </c>
      <c r="BW16" s="35">
        <f>+(BW18/BW14)*100</f>
        <v>11.011647568945431</v>
      </c>
      <c r="BX16" s="35">
        <f>+(BX18/BX14)*100</f>
        <v>11.312087036964405</v>
      </c>
      <c r="BY16" s="45"/>
      <c r="BZ16" s="45"/>
      <c r="CA16" s="45"/>
      <c r="CB16" s="45"/>
      <c r="CC16" s="45"/>
      <c r="CD16" s="45"/>
      <c r="CE16" s="45"/>
      <c r="CF16" s="45"/>
      <c r="CG16" s="45"/>
      <c r="CH16" s="45"/>
      <c r="CI16" s="45"/>
      <c r="CJ16" s="45"/>
      <c r="CK16" s="45"/>
      <c r="CL16" s="45"/>
      <c r="CM16" s="45"/>
      <c r="CN16" s="45"/>
      <c r="CO16" s="45"/>
      <c r="CP16" s="45"/>
    </row>
    <row r="17" spans="1:76" s="45" customFormat="1" ht="12.75" outlineLevel="1">
      <c r="A17" s="21"/>
      <c r="B17" s="15"/>
      <c r="C17" s="35"/>
      <c r="D17" s="35"/>
      <c r="E17" s="35"/>
      <c r="F17" s="46"/>
      <c r="G17" s="35"/>
      <c r="H17" s="35"/>
      <c r="I17" s="35"/>
      <c r="J17" s="46"/>
      <c r="K17" s="2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79"/>
      <c r="BT17" s="35"/>
      <c r="BU17" s="35"/>
      <c r="BV17" s="35"/>
      <c r="BW17" s="35"/>
      <c r="BX17" s="35"/>
    </row>
    <row r="18" spans="1:94" s="4" customFormat="1" ht="12.75">
      <c r="A18" s="21"/>
      <c r="B18" s="49" t="s">
        <v>10</v>
      </c>
      <c r="C18" s="47">
        <f>+BR18</f>
        <v>36.279026394416945</v>
      </c>
      <c r="D18" s="47">
        <f>+BF18</f>
        <v>28.438550746261598</v>
      </c>
      <c r="E18" s="47">
        <f>+C18-D18</f>
        <v>7.840475648155348</v>
      </c>
      <c r="F18" s="46">
        <f>+E18/D18</f>
        <v>0.27569884689662044</v>
      </c>
      <c r="G18" s="35"/>
      <c r="H18" s="47">
        <f>+AT18</f>
        <v>29.173672201128987</v>
      </c>
      <c r="I18" s="47">
        <f>+D18-H18</f>
        <v>-0.7351214548673894</v>
      </c>
      <c r="J18" s="46">
        <f>+(I18/H18)</f>
        <v>-0.025198111838623492</v>
      </c>
      <c r="K18" s="20"/>
      <c r="L18" s="16">
        <v>55.8801209675973</v>
      </c>
      <c r="M18" s="16">
        <v>49.58513013845597</v>
      </c>
      <c r="N18" s="16">
        <v>56.09746462973873</v>
      </c>
      <c r="O18" s="16">
        <v>54.796350230736444</v>
      </c>
      <c r="P18" s="16">
        <v>58.395679061841875</v>
      </c>
      <c r="Q18" s="16">
        <v>58.939167883210935</v>
      </c>
      <c r="R18" s="16">
        <v>59.806261385268996</v>
      </c>
      <c r="S18" s="16">
        <v>56.82265343885482</v>
      </c>
      <c r="T18" s="16">
        <v>54.308477758284404</v>
      </c>
      <c r="U18" s="16">
        <v>52.61860257090739</v>
      </c>
      <c r="V18" s="16">
        <v>43.683026848004545</v>
      </c>
      <c r="W18" s="16">
        <v>40.91551747706341</v>
      </c>
      <c r="X18" s="16">
        <v>27.873311001922996</v>
      </c>
      <c r="Y18" s="16">
        <v>25.0006068038055</v>
      </c>
      <c r="Z18" s="16">
        <v>32.08552738396435</v>
      </c>
      <c r="AA18" s="16">
        <v>30.9401404114622</v>
      </c>
      <c r="AB18" s="16">
        <v>32.548860661335674</v>
      </c>
      <c r="AC18" s="16">
        <v>42.44874039045806</v>
      </c>
      <c r="AD18" s="16">
        <v>41.681946946555485</v>
      </c>
      <c r="AE18" s="16">
        <v>39.02165064249308</v>
      </c>
      <c r="AF18" s="16">
        <v>37.1485783736661</v>
      </c>
      <c r="AG18" s="16">
        <v>38.86004373918342</v>
      </c>
      <c r="AH18" s="16">
        <v>33.15931034692004</v>
      </c>
      <c r="AI18" s="16">
        <v>31.372430039542028</v>
      </c>
      <c r="AJ18" s="34">
        <v>27.9680330764369</v>
      </c>
      <c r="AK18" s="34">
        <v>26.297828031369594</v>
      </c>
      <c r="AL18" s="47">
        <v>30.564838706669725</v>
      </c>
      <c r="AM18" s="47">
        <v>31.7350938369647</v>
      </c>
      <c r="AN18" s="47">
        <v>35.27889523395397</v>
      </c>
      <c r="AO18" s="47">
        <v>37.066577331264895</v>
      </c>
      <c r="AP18" s="47">
        <v>37.718597545469706</v>
      </c>
      <c r="AQ18" s="47">
        <v>28.59509096672737</v>
      </c>
      <c r="AR18" s="47">
        <v>32.321315082117</v>
      </c>
      <c r="AS18" s="47">
        <v>29.7653575879222</v>
      </c>
      <c r="AT18" s="47">
        <v>29.173672201128987</v>
      </c>
      <c r="AU18" s="47">
        <v>27.264331383449697</v>
      </c>
      <c r="AV18" s="47">
        <v>14.38829636344343</v>
      </c>
      <c r="AW18" s="47">
        <v>13.392401152026567</v>
      </c>
      <c r="AX18" s="47">
        <v>17.45336482875768</v>
      </c>
      <c r="AY18" s="47">
        <v>21.83857689456239</v>
      </c>
      <c r="AZ18" s="47">
        <v>32.1803652412989</v>
      </c>
      <c r="BA18" s="47">
        <v>29.11408423416449</v>
      </c>
      <c r="BB18" s="47">
        <v>30.785447487397544</v>
      </c>
      <c r="BC18" s="47">
        <v>30.64214778953892</v>
      </c>
      <c r="BD18" s="47">
        <v>29.96369054175276</v>
      </c>
      <c r="BE18" s="47">
        <v>31.27158196080509</v>
      </c>
      <c r="BF18" s="47">
        <v>28.438550746261598</v>
      </c>
      <c r="BG18" s="47">
        <v>25.626130109644414</v>
      </c>
      <c r="BH18" s="47">
        <v>28.131589495900073</v>
      </c>
      <c r="BI18" s="47">
        <v>26.190891400667912</v>
      </c>
      <c r="BJ18" s="47">
        <v>29.550789811047576</v>
      </c>
      <c r="BK18" s="47">
        <v>27.731530822421178</v>
      </c>
      <c r="BL18" s="47">
        <v>32.42906554140281</v>
      </c>
      <c r="BM18" s="47">
        <v>33.75426436752767</v>
      </c>
      <c r="BN18" s="47">
        <v>37.94849750673084</v>
      </c>
      <c r="BO18" s="47">
        <v>36.27347931134523</v>
      </c>
      <c r="BP18" s="47">
        <v>37.76491047039021</v>
      </c>
      <c r="BQ18" s="47">
        <v>35.40883853198213</v>
      </c>
      <c r="BR18" s="47">
        <v>36.279026394416945</v>
      </c>
      <c r="BS18" s="81"/>
      <c r="BT18" s="16">
        <f>+SUM(L18:W18)</f>
        <v>641.8484523899648</v>
      </c>
      <c r="BU18" s="16">
        <f>+SUM(X18:AI18)</f>
        <v>412.14114674130894</v>
      </c>
      <c r="BV18" s="37">
        <f>+SUM(AJ18:AU18)</f>
        <v>373.74963098347473</v>
      </c>
      <c r="BW18" s="47">
        <f>+SUM(AV18:BG18)</f>
        <v>305.09463734965374</v>
      </c>
      <c r="BX18" s="47">
        <f>+SUM(BH18:BR18)</f>
        <v>361.4628836538326</v>
      </c>
      <c r="BY18" s="45"/>
      <c r="BZ18" s="45"/>
      <c r="CA18" s="45"/>
      <c r="CB18" s="45"/>
      <c r="CC18" s="45"/>
      <c r="CD18" s="45"/>
      <c r="CE18" s="45"/>
      <c r="CF18" s="45"/>
      <c r="CG18" s="45"/>
      <c r="CH18" s="45"/>
      <c r="CI18" s="45"/>
      <c r="CJ18" s="45"/>
      <c r="CK18" s="45"/>
      <c r="CL18" s="45"/>
      <c r="CM18" s="45"/>
      <c r="CN18" s="45"/>
      <c r="CO18" s="45"/>
      <c r="CP18" s="45"/>
    </row>
    <row r="19" spans="1:76" s="45" customFormat="1" ht="12.75" outlineLevel="1">
      <c r="A19" s="21"/>
      <c r="B19" s="15"/>
      <c r="C19" s="47"/>
      <c r="D19" s="47"/>
      <c r="E19" s="47"/>
      <c r="F19" s="46"/>
      <c r="G19" s="35"/>
      <c r="H19" s="47"/>
      <c r="I19" s="47"/>
      <c r="J19" s="46"/>
      <c r="K19" s="2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80"/>
      <c r="BT19" s="47"/>
      <c r="BU19" s="47"/>
      <c r="BV19" s="47"/>
      <c r="BW19" s="47"/>
      <c r="BX19" s="47"/>
    </row>
    <row r="20" spans="1:94" s="4" customFormat="1" ht="12.75">
      <c r="A20" s="21"/>
      <c r="B20" s="49" t="s">
        <v>11</v>
      </c>
      <c r="C20" s="47">
        <f>+BR20</f>
        <v>121.63172001859212</v>
      </c>
      <c r="D20" s="47">
        <f>+BF20</f>
        <v>145.28887363198038</v>
      </c>
      <c r="E20" s="47">
        <f>+C20-D20</f>
        <v>-23.65715361338826</v>
      </c>
      <c r="F20" s="46">
        <f>+E20/D20</f>
        <v>-0.1628283916173258</v>
      </c>
      <c r="G20" s="35"/>
      <c r="H20" s="47">
        <f>+AT20</f>
        <v>154.69127177522</v>
      </c>
      <c r="I20" s="47">
        <f>+D20-H20</f>
        <v>-9.402398143239623</v>
      </c>
      <c r="J20" s="46">
        <f>+(I20/H20)</f>
        <v>-0.06078169786400187</v>
      </c>
      <c r="K20" s="20"/>
      <c r="L20" s="16">
        <v>45.2515672338579</v>
      </c>
      <c r="M20" s="16">
        <v>54.0089091971923</v>
      </c>
      <c r="N20" s="16">
        <v>66.5491813601084</v>
      </c>
      <c r="O20" s="16">
        <v>69.2635057535051</v>
      </c>
      <c r="P20" s="16">
        <v>64.4660526327943</v>
      </c>
      <c r="Q20" s="16">
        <v>70.8662311896006</v>
      </c>
      <c r="R20" s="16">
        <v>82.4302597550622</v>
      </c>
      <c r="S20" s="16">
        <v>78.383720186509</v>
      </c>
      <c r="T20" s="16">
        <v>76.6916086368361</v>
      </c>
      <c r="U20" s="16">
        <v>101.988032374281</v>
      </c>
      <c r="V20" s="16">
        <v>93.1686298774853</v>
      </c>
      <c r="W20" s="16">
        <v>86.1522733736588</v>
      </c>
      <c r="X20" s="16">
        <v>147.715540564584</v>
      </c>
      <c r="Y20" s="16">
        <v>132.8124500009591</v>
      </c>
      <c r="Z20" s="16">
        <v>129.493195993151</v>
      </c>
      <c r="AA20" s="16">
        <v>129.25024675987</v>
      </c>
      <c r="AB20" s="16">
        <v>145.567427449183</v>
      </c>
      <c r="AC20" s="16">
        <v>96.9016734018605</v>
      </c>
      <c r="AD20" s="16">
        <v>114.35371488099997</v>
      </c>
      <c r="AE20" s="16">
        <v>107.160257552092</v>
      </c>
      <c r="AF20" s="16">
        <v>94.2801713155914</v>
      </c>
      <c r="AG20" s="16">
        <v>96.5484331320019</v>
      </c>
      <c r="AH20" s="16">
        <v>97.3924155440884</v>
      </c>
      <c r="AI20" s="16">
        <v>113.590887625892</v>
      </c>
      <c r="AJ20" s="34">
        <v>108.319874392579</v>
      </c>
      <c r="AK20" s="34">
        <v>99.7205340944261</v>
      </c>
      <c r="AL20" s="47">
        <v>74.5076338720399</v>
      </c>
      <c r="AM20" s="47">
        <v>80.4021666612457</v>
      </c>
      <c r="AN20" s="47">
        <v>95.4110368063484</v>
      </c>
      <c r="AO20" s="47">
        <v>90.6872175486242</v>
      </c>
      <c r="AP20" s="47">
        <v>92.0505414143551</v>
      </c>
      <c r="AQ20" s="47">
        <v>172.778897021121</v>
      </c>
      <c r="AR20" s="47">
        <v>116.669975932086</v>
      </c>
      <c r="AS20" s="47">
        <v>153.244585199517</v>
      </c>
      <c r="AT20" s="47">
        <v>154.69127177522</v>
      </c>
      <c r="AU20" s="47">
        <v>166.432439456423</v>
      </c>
      <c r="AV20" s="47">
        <v>256.590420193073</v>
      </c>
      <c r="AW20" s="47">
        <v>249.08891561766796</v>
      </c>
      <c r="AX20" s="47">
        <v>245.40410407951595</v>
      </c>
      <c r="AY20" s="47">
        <v>196.1585575174278</v>
      </c>
      <c r="AZ20" s="47">
        <v>135.591855786348</v>
      </c>
      <c r="BA20" s="47">
        <v>172.0007506958446</v>
      </c>
      <c r="BB20" s="47">
        <v>161.6406683875973</v>
      </c>
      <c r="BC20" s="47">
        <v>182.89680081017912</v>
      </c>
      <c r="BD20" s="47">
        <v>157.94619789552988</v>
      </c>
      <c r="BE20" s="47">
        <v>157.13211212285407</v>
      </c>
      <c r="BF20" s="47">
        <v>145.28887363198038</v>
      </c>
      <c r="BG20" s="47">
        <v>176.11482435747772</v>
      </c>
      <c r="BH20" s="47">
        <v>133.2737694355637</v>
      </c>
      <c r="BI20" s="47">
        <v>98.65702501044916</v>
      </c>
      <c r="BJ20" s="47">
        <v>134.91881465885692</v>
      </c>
      <c r="BK20" s="47">
        <v>156.54981443994043</v>
      </c>
      <c r="BL20" s="47">
        <v>137.00970938988547</v>
      </c>
      <c r="BM20" s="47">
        <v>143.88750149998836</v>
      </c>
      <c r="BN20" s="47">
        <v>132.80642979116476</v>
      </c>
      <c r="BO20" s="47">
        <v>144.7027448381968</v>
      </c>
      <c r="BP20" s="47">
        <v>108.21885937239699</v>
      </c>
      <c r="BQ20" s="47">
        <v>128.62715294375352</v>
      </c>
      <c r="BR20" s="47">
        <v>121.63172001859212</v>
      </c>
      <c r="BS20" s="45"/>
      <c r="BT20" s="16">
        <f>+SUM(L20:W20)</f>
        <v>889.2199715708911</v>
      </c>
      <c r="BU20" s="16">
        <f>+SUM(X20:AI20)</f>
        <v>1405.0664142202734</v>
      </c>
      <c r="BV20" s="37">
        <f>+SUM(AJ20:AU20)</f>
        <v>1404.9161741739854</v>
      </c>
      <c r="BW20" s="47">
        <f>+SUM(AV20:BG20)</f>
        <v>2235.8540810954955</v>
      </c>
      <c r="BX20" s="47">
        <f>+SUM(BH20:BR20)</f>
        <v>1440.2835413987884</v>
      </c>
      <c r="BY20" s="45"/>
      <c r="BZ20" s="45"/>
      <c r="CA20" s="45"/>
      <c r="CB20" s="45"/>
      <c r="CC20" s="45"/>
      <c r="CD20" s="45"/>
      <c r="CE20" s="45"/>
      <c r="CF20" s="45"/>
      <c r="CG20" s="45"/>
      <c r="CH20" s="45"/>
      <c r="CI20" s="45"/>
      <c r="CJ20" s="45"/>
      <c r="CK20" s="45"/>
      <c r="CL20" s="45"/>
      <c r="CM20" s="45"/>
      <c r="CN20" s="45"/>
      <c r="CO20" s="45"/>
      <c r="CP20" s="45"/>
    </row>
    <row r="21" spans="1:76" s="45" customFormat="1" ht="12.75" outlineLevel="1">
      <c r="A21" s="21"/>
      <c r="B21" s="15"/>
      <c r="C21" s="47"/>
      <c r="D21" s="47"/>
      <c r="E21" s="47"/>
      <c r="F21" s="46"/>
      <c r="G21" s="35"/>
      <c r="H21" s="47"/>
      <c r="I21" s="47"/>
      <c r="J21" s="46"/>
      <c r="K21" s="20"/>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80"/>
      <c r="BT21" s="47"/>
      <c r="BU21" s="47"/>
      <c r="BV21" s="47"/>
      <c r="BW21" s="47"/>
      <c r="BX21" s="47"/>
    </row>
    <row r="22" spans="1:94" ht="12.75">
      <c r="A22" s="21"/>
      <c r="B22" s="49" t="s">
        <v>12</v>
      </c>
      <c r="C22" s="47">
        <f>+(C24/C20)*100</f>
        <v>19.169240044605175</v>
      </c>
      <c r="D22" s="47">
        <f>+(D24/D20)*100</f>
        <v>13.238677735565854</v>
      </c>
      <c r="E22" s="47">
        <f>+C22-D22</f>
        <v>5.9305623090393205</v>
      </c>
      <c r="F22" s="46">
        <f>+E22/D22</f>
        <v>0.4479724053639284</v>
      </c>
      <c r="G22" s="35"/>
      <c r="H22" s="47">
        <f>+(H24/H20)*100</f>
        <v>11.225442870421508</v>
      </c>
      <c r="I22" s="47">
        <f>+D22-H22</f>
        <v>2.013234865144346</v>
      </c>
      <c r="J22" s="46">
        <f>+(I22/H22)</f>
        <v>0.17934569605704567</v>
      </c>
      <c r="K22" s="20"/>
      <c r="L22" s="35">
        <f aca="true" t="shared" si="5" ref="L22:BA22">+(L24/L20)*100</f>
        <v>15.699293927299118</v>
      </c>
      <c r="M22" s="35">
        <f t="shared" si="5"/>
        <v>17.12196098658277</v>
      </c>
      <c r="N22" s="35">
        <f t="shared" si="5"/>
        <v>16.582897790130925</v>
      </c>
      <c r="O22" s="35">
        <f t="shared" si="5"/>
        <v>18.487523423227415</v>
      </c>
      <c r="P22" s="35">
        <f t="shared" si="5"/>
        <v>17.401138146029183</v>
      </c>
      <c r="Q22" s="35">
        <f t="shared" si="5"/>
        <v>18.870839169737863</v>
      </c>
      <c r="R22" s="35">
        <f t="shared" si="5"/>
        <v>20.37789729208404</v>
      </c>
      <c r="S22" s="35">
        <f t="shared" si="5"/>
        <v>18.683981276575203</v>
      </c>
      <c r="T22" s="35">
        <f t="shared" si="5"/>
        <v>18.953885647266446</v>
      </c>
      <c r="U22" s="35">
        <f t="shared" si="5"/>
        <v>18.86076180972822</v>
      </c>
      <c r="V22" s="35">
        <f t="shared" si="5"/>
        <v>17.51173133246704</v>
      </c>
      <c r="W22" s="35">
        <f t="shared" si="5"/>
        <v>12.570423656539203</v>
      </c>
      <c r="X22" s="35">
        <f t="shared" si="5"/>
        <v>14.473971633228908</v>
      </c>
      <c r="Y22" s="35">
        <f t="shared" si="5"/>
        <v>14.521689506611967</v>
      </c>
      <c r="Z22" s="35">
        <f t="shared" si="5"/>
        <v>13.711580808297505</v>
      </c>
      <c r="AA22" s="35">
        <f t="shared" si="5"/>
        <v>14.021942849584265</v>
      </c>
      <c r="AB22" s="35">
        <f t="shared" si="5"/>
        <v>14.602705541484553</v>
      </c>
      <c r="AC22" s="35">
        <f t="shared" si="5"/>
        <v>16.371935014958673</v>
      </c>
      <c r="AD22" s="35">
        <f t="shared" si="5"/>
        <v>15.661158765613747</v>
      </c>
      <c r="AE22" s="35">
        <f t="shared" si="5"/>
        <v>14.55531768213161</v>
      </c>
      <c r="AF22" s="35">
        <f t="shared" si="5"/>
        <v>13.849861146535286</v>
      </c>
      <c r="AG22" s="35">
        <f t="shared" si="5"/>
        <v>14.011111731135664</v>
      </c>
      <c r="AH22" s="35">
        <f t="shared" si="5"/>
        <v>12.344549326282094</v>
      </c>
      <c r="AI22" s="35">
        <f t="shared" si="5"/>
        <v>10.596865039117978</v>
      </c>
      <c r="AJ22" s="35">
        <f t="shared" si="5"/>
        <v>9.391432197383196</v>
      </c>
      <c r="AK22" s="35">
        <f t="shared" si="5"/>
        <v>10.885768755670867</v>
      </c>
      <c r="AL22" s="35">
        <f t="shared" si="5"/>
        <v>12.344580274843556</v>
      </c>
      <c r="AM22" s="35">
        <f t="shared" si="5"/>
        <v>12.713102923525785</v>
      </c>
      <c r="AN22" s="35">
        <f t="shared" si="5"/>
        <v>11.818809522631504</v>
      </c>
      <c r="AO22" s="35">
        <f t="shared" si="5"/>
        <v>13.1663773588929</v>
      </c>
      <c r="AP22" s="35">
        <f t="shared" si="5"/>
        <v>14.467177564023013</v>
      </c>
      <c r="AQ22" s="35">
        <f t="shared" si="5"/>
        <v>11.48575925782011</v>
      </c>
      <c r="AR22" s="35">
        <f t="shared" si="5"/>
        <v>13.675297399891075</v>
      </c>
      <c r="AS22" s="35">
        <f t="shared" si="5"/>
        <v>11.826179225462413</v>
      </c>
      <c r="AT22" s="35">
        <f t="shared" si="5"/>
        <v>11.225442870421508</v>
      </c>
      <c r="AU22" s="35">
        <f t="shared" si="5"/>
        <v>10.833225467976773</v>
      </c>
      <c r="AV22" s="35">
        <f t="shared" si="5"/>
        <v>12.503717011008275</v>
      </c>
      <c r="AW22" s="35">
        <f t="shared" si="5"/>
        <v>13.236437266827863</v>
      </c>
      <c r="AX22" s="35">
        <f t="shared" si="5"/>
        <v>12.561115799994127</v>
      </c>
      <c r="AY22" s="35">
        <f t="shared" si="5"/>
        <v>12.003251908756354</v>
      </c>
      <c r="AZ22" s="35">
        <f t="shared" si="5"/>
        <v>12.39503568871315</v>
      </c>
      <c r="BA22" s="35">
        <f t="shared" si="5"/>
        <v>12.227905294862804</v>
      </c>
      <c r="BB22" s="35">
        <f aca="true" t="shared" si="6" ref="BB22:BG22">+(BB24/BB20)*100</f>
        <v>12.371682169340371</v>
      </c>
      <c r="BC22" s="35">
        <f t="shared" si="6"/>
        <v>11.937634907009553</v>
      </c>
      <c r="BD22" s="35">
        <f t="shared" si="6"/>
        <v>12.304926979301403</v>
      </c>
      <c r="BE22" s="35">
        <f t="shared" si="6"/>
        <v>12.819570002972075</v>
      </c>
      <c r="BF22" s="35">
        <f t="shared" si="6"/>
        <v>13.238677735565854</v>
      </c>
      <c r="BG22" s="35">
        <f t="shared" si="6"/>
        <v>13.220514039460571</v>
      </c>
      <c r="BH22" s="35">
        <f aca="true" t="shared" si="7" ref="BH22:BN22">+(BH24/BH20)*100</f>
        <v>13.074320484092478</v>
      </c>
      <c r="BI22" s="35">
        <f t="shared" si="7"/>
        <v>13.435136080108068</v>
      </c>
      <c r="BJ22" s="35">
        <f t="shared" si="7"/>
        <v>14.134308674572734</v>
      </c>
      <c r="BK22" s="35">
        <f t="shared" si="7"/>
        <v>13.907997158866717</v>
      </c>
      <c r="BL22" s="35">
        <f t="shared" si="7"/>
        <v>15.662943776466959</v>
      </c>
      <c r="BM22" s="35">
        <f t="shared" si="7"/>
        <v>16.966682954673136</v>
      </c>
      <c r="BN22" s="35">
        <f t="shared" si="7"/>
        <v>17.03133213571869</v>
      </c>
      <c r="BO22" s="35">
        <f>+(BO24/BO20)*100</f>
        <v>16.39457258108026</v>
      </c>
      <c r="BP22" s="35">
        <f>+(BP24/BP20)*100</f>
        <v>19.05314054225743</v>
      </c>
      <c r="BQ22" s="35">
        <f>+(BQ24/BQ20)*100</f>
        <v>17.617990124632364</v>
      </c>
      <c r="BR22" s="35">
        <f>+(BR24/BR20)*100</f>
        <v>19.169240044605175</v>
      </c>
      <c r="BS22" s="45"/>
      <c r="BT22" s="18">
        <f>+(BT24/BT20)*100</f>
        <v>17.67200397392169</v>
      </c>
      <c r="BU22" s="18">
        <f>+(BU24/BU20)*100</f>
        <v>14.078970149593955</v>
      </c>
      <c r="BV22" s="35">
        <f>+(BV24/BV20)*100</f>
        <v>11.83692542612279</v>
      </c>
      <c r="BW22" s="35">
        <f>+(BW24/BW20)*100</f>
        <v>12.576453272094179</v>
      </c>
      <c r="BX22" s="35">
        <f>+(BX24/BX20)*100</f>
        <v>15.99222664335637</v>
      </c>
      <c r="BY22" s="45"/>
      <c r="BZ22" s="45"/>
      <c r="CA22" s="45"/>
      <c r="CB22" s="45"/>
      <c r="CC22" s="45"/>
      <c r="CD22" s="45"/>
      <c r="CE22" s="45"/>
      <c r="CF22" s="45"/>
      <c r="CG22" s="45"/>
      <c r="CH22" s="45"/>
      <c r="CI22" s="45"/>
      <c r="CJ22" s="45"/>
      <c r="CK22" s="45"/>
      <c r="CL22" s="45"/>
      <c r="CM22" s="45"/>
      <c r="CN22" s="45"/>
      <c r="CO22" s="45"/>
      <c r="CP22" s="45"/>
    </row>
    <row r="23" spans="1:94" s="44" customFormat="1" ht="12.75" outlineLevel="1">
      <c r="A23" s="21"/>
      <c r="B23" s="15"/>
      <c r="C23" s="35"/>
      <c r="D23" s="35"/>
      <c r="E23" s="35"/>
      <c r="F23" s="46"/>
      <c r="G23" s="35"/>
      <c r="H23" s="35"/>
      <c r="I23" s="35"/>
      <c r="J23" s="46"/>
      <c r="K23" s="20"/>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5"/>
      <c r="BT23" s="35"/>
      <c r="BU23" s="35"/>
      <c r="BV23" s="35"/>
      <c r="BW23" s="35"/>
      <c r="BX23" s="35"/>
      <c r="BY23" s="45"/>
      <c r="BZ23" s="45"/>
      <c r="CA23" s="45"/>
      <c r="CB23" s="45"/>
      <c r="CC23" s="45"/>
      <c r="CD23" s="45"/>
      <c r="CE23" s="45"/>
      <c r="CF23" s="45"/>
      <c r="CG23" s="45"/>
      <c r="CH23" s="45"/>
      <c r="CI23" s="45"/>
      <c r="CJ23" s="45"/>
      <c r="CK23" s="45"/>
      <c r="CL23" s="45"/>
      <c r="CM23" s="45"/>
      <c r="CN23" s="45"/>
      <c r="CO23" s="45"/>
      <c r="CP23" s="45"/>
    </row>
    <row r="24" spans="1:94" ht="12.75">
      <c r="A24" s="21"/>
      <c r="B24" s="49" t="s">
        <v>13</v>
      </c>
      <c r="C24" s="47">
        <f>+BR24</f>
        <v>23.31587638074601</v>
      </c>
      <c r="D24" s="47">
        <f>+BF24</f>
        <v>19.234325765771395</v>
      </c>
      <c r="E24" s="47">
        <f>+C24-D24</f>
        <v>4.0815506149746135</v>
      </c>
      <c r="F24" s="46">
        <f>+E24/D24</f>
        <v>0.21220138749224945</v>
      </c>
      <c r="G24" s="35"/>
      <c r="H24" s="47">
        <f>+AT24</f>
        <v>17.36478033865579</v>
      </c>
      <c r="I24" s="47">
        <f>+D24-H24</f>
        <v>1.8695454271156038</v>
      </c>
      <c r="J24" s="46">
        <f>+(I24/H24)</f>
        <v>0.10766306228209538</v>
      </c>
      <c r="K24" s="20"/>
      <c r="L24" s="16">
        <v>7.10417654675273</v>
      </c>
      <c r="M24" s="16">
        <v>9.24738436202218</v>
      </c>
      <c r="N24" s="16">
        <v>11.035782725115638</v>
      </c>
      <c r="O24" s="16">
        <v>12.805106849927723</v>
      </c>
      <c r="P24" s="16">
        <v>11.21782687592442</v>
      </c>
      <c r="Q24" s="16">
        <v>13.37305251344414</v>
      </c>
      <c r="R24" s="16">
        <v>16.79755367048466</v>
      </c>
      <c r="S24" s="16">
        <v>14.64519960353044</v>
      </c>
      <c r="T24" s="16">
        <v>14.536039802075031</v>
      </c>
      <c r="U24" s="16">
        <v>19.235719860541646</v>
      </c>
      <c r="V24" s="16">
        <v>16.31544015028584</v>
      </c>
      <c r="W24" s="16">
        <v>10.829705752808731</v>
      </c>
      <c r="X24" s="16">
        <v>21.38030543918863</v>
      </c>
      <c r="Y24" s="16">
        <v>19.286611615263546</v>
      </c>
      <c r="Z24" s="16">
        <v>17.755564209847968</v>
      </c>
      <c r="AA24" s="16">
        <v>18.12339573361561</v>
      </c>
      <c r="AB24" s="16">
        <v>21.25678279471835</v>
      </c>
      <c r="AC24" s="16">
        <v>15.864678997760096</v>
      </c>
      <c r="AD24" s="16">
        <v>17.90911684189068</v>
      </c>
      <c r="AE24" s="16">
        <v>15.597515915697421</v>
      </c>
      <c r="AF24" s="16">
        <v>13.057672815925</v>
      </c>
      <c r="AG24" s="16">
        <v>13.527508840785591</v>
      </c>
      <c r="AH24" s="16">
        <v>12.022654776897621</v>
      </c>
      <c r="AI24" s="16">
        <v>12.037073058451938</v>
      </c>
      <c r="AJ24" s="34">
        <v>10.1727875598697</v>
      </c>
      <c r="AK24" s="34">
        <v>10.855346743439151</v>
      </c>
      <c r="AL24" s="47">
        <v>9.197654674220495</v>
      </c>
      <c r="AM24" s="47">
        <v>10.2216102003889</v>
      </c>
      <c r="AN24" s="47">
        <v>11.276448703710155</v>
      </c>
      <c r="AO24" s="47">
        <v>11.940221278732006</v>
      </c>
      <c r="AP24" s="47">
        <v>13.31711527505929</v>
      </c>
      <c r="AQ24" s="47">
        <v>19.84496816016288</v>
      </c>
      <c r="AR24" s="47">
        <v>15.9549661850941</v>
      </c>
      <c r="AS24" s="47">
        <v>18.122979299011327</v>
      </c>
      <c r="AT24" s="47">
        <v>17.36478033865579</v>
      </c>
      <c r="AU24" s="47">
        <v>18.03000141816824</v>
      </c>
      <c r="AV24" s="47">
        <v>32.08334001829888</v>
      </c>
      <c r="AW24" s="47">
        <v>32.970498054354415</v>
      </c>
      <c r="AX24" s="47">
        <v>30.82549369136611</v>
      </c>
      <c r="AY24" s="47">
        <v>23.545405799399582</v>
      </c>
      <c r="AZ24" s="47">
        <v>16.8066589157063</v>
      </c>
      <c r="BA24" s="47">
        <v>21.032088901540952</v>
      </c>
      <c r="BB24" s="47">
        <v>19.997669749310973</v>
      </c>
      <c r="BC24" s="47">
        <v>21.833552337319674</v>
      </c>
      <c r="BD24" s="47">
        <v>19.43516431762784</v>
      </c>
      <c r="BE24" s="47">
        <v>20.14366111073785</v>
      </c>
      <c r="BF24" s="47">
        <v>19.234325765771395</v>
      </c>
      <c r="BG24" s="47">
        <v>23.283285079751668</v>
      </c>
      <c r="BH24" s="47">
        <v>17.424639737236085</v>
      </c>
      <c r="BI24" s="47">
        <v>13.254705562740096</v>
      </c>
      <c r="BJ24" s="47">
        <v>19.069841723957524</v>
      </c>
      <c r="BK24" s="47">
        <v>21.77294374451803</v>
      </c>
      <c r="BL24" s="47">
        <v>21.459753750038534</v>
      </c>
      <c r="BM24" s="47">
        <v>24.412936190903576</v>
      </c>
      <c r="BN24" s="47">
        <v>22.61870415532332</v>
      </c>
      <c r="BO24" s="47">
        <v>23.723396529313543</v>
      </c>
      <c r="BP24" s="47">
        <v>20.61909136945073</v>
      </c>
      <c r="BQ24" s="47">
        <v>22.661519103226265</v>
      </c>
      <c r="BR24" s="47">
        <v>23.31587638074601</v>
      </c>
      <c r="BS24" s="76"/>
      <c r="BT24" s="16">
        <f>+SUM(L24:W24)</f>
        <v>157.1429887129132</v>
      </c>
      <c r="BU24" s="16">
        <f>+SUM(X24:AI24)</f>
        <v>197.81888104004244</v>
      </c>
      <c r="BV24" s="37">
        <f>+SUM(AJ24:AU24)</f>
        <v>166.29887983651201</v>
      </c>
      <c r="BW24" s="47">
        <f>+SUM(AV24:BG24)</f>
        <v>281.19114374118567</v>
      </c>
      <c r="BX24" s="47">
        <f>+SUM(BH24:BR24)</f>
        <v>230.3334082474537</v>
      </c>
      <c r="BY24" s="45"/>
      <c r="BZ24" s="45"/>
      <c r="CA24" s="45"/>
      <c r="CB24" s="45"/>
      <c r="CC24" s="45"/>
      <c r="CD24" s="45"/>
      <c r="CE24" s="45"/>
      <c r="CF24" s="45"/>
      <c r="CG24" s="45"/>
      <c r="CH24" s="45"/>
      <c r="CI24" s="45"/>
      <c r="CJ24" s="45"/>
      <c r="CK24" s="45"/>
      <c r="CL24" s="45"/>
      <c r="CM24" s="45"/>
      <c r="CN24" s="45"/>
      <c r="CO24" s="45"/>
      <c r="CP24" s="45"/>
    </row>
    <row r="25" spans="1:94" s="44" customFormat="1" ht="12.75" outlineLevel="1">
      <c r="A25" s="21"/>
      <c r="B25" s="15"/>
      <c r="C25" s="47"/>
      <c r="D25" s="47"/>
      <c r="E25" s="47"/>
      <c r="F25" s="46"/>
      <c r="G25" s="35"/>
      <c r="H25" s="47"/>
      <c r="I25" s="47"/>
      <c r="J25" s="46"/>
      <c r="K25" s="20"/>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80"/>
      <c r="BT25" s="47"/>
      <c r="BU25" s="47"/>
      <c r="BV25" s="47"/>
      <c r="BW25" s="47"/>
      <c r="BX25" s="47"/>
      <c r="BY25" s="45"/>
      <c r="BZ25" s="45"/>
      <c r="CA25" s="45"/>
      <c r="CB25" s="45"/>
      <c r="CC25" s="45"/>
      <c r="CD25" s="45"/>
      <c r="CE25" s="45"/>
      <c r="CF25" s="45"/>
      <c r="CG25" s="45"/>
      <c r="CH25" s="45"/>
      <c r="CI25" s="45"/>
      <c r="CJ25" s="45"/>
      <c r="CK25" s="45"/>
      <c r="CL25" s="45"/>
      <c r="CM25" s="45"/>
      <c r="CN25" s="45"/>
      <c r="CO25" s="45"/>
      <c r="CP25" s="45"/>
    </row>
    <row r="26" spans="1:94" ht="12.75">
      <c r="A26" s="22"/>
      <c r="B26" s="49" t="s">
        <v>14</v>
      </c>
      <c r="C26" s="47">
        <f>+BR26</f>
        <v>341.666245</v>
      </c>
      <c r="D26" s="47">
        <f>+BF26</f>
        <v>324.281878</v>
      </c>
      <c r="E26" s="47">
        <f>+C26-D26</f>
        <v>17.384366999999997</v>
      </c>
      <c r="F26" s="46">
        <f>+E26/D26</f>
        <v>0.053608814366123775</v>
      </c>
      <c r="G26" s="35"/>
      <c r="H26" s="47">
        <f>+AT26</f>
        <v>307.681535</v>
      </c>
      <c r="I26" s="47">
        <f>+D26-H26</f>
        <v>16.60034300000001</v>
      </c>
      <c r="J26" s="46">
        <f>+(I26/H26)</f>
        <v>0.053953003712101245</v>
      </c>
      <c r="K26" s="20"/>
      <c r="L26" s="16">
        <v>254.16902899999997</v>
      </c>
      <c r="M26" s="16">
        <v>207.53342</v>
      </c>
      <c r="N26" s="16">
        <v>258.341102</v>
      </c>
      <c r="O26" s="16">
        <v>270.592218</v>
      </c>
      <c r="P26" s="16">
        <v>265.398633</v>
      </c>
      <c r="Q26" s="16">
        <v>284.262001</v>
      </c>
      <c r="R26" s="16">
        <v>288.83901</v>
      </c>
      <c r="S26" s="16">
        <v>286.26386899999994</v>
      </c>
      <c r="T26" s="16">
        <v>275.62006999999994</v>
      </c>
      <c r="U26" s="47">
        <v>278.16789500000004</v>
      </c>
      <c r="V26" s="16">
        <v>283.041579</v>
      </c>
      <c r="W26" s="16">
        <v>265.673961</v>
      </c>
      <c r="X26" s="16">
        <v>251.96964799999998</v>
      </c>
      <c r="Y26" s="16">
        <v>251.052187</v>
      </c>
      <c r="Z26" s="16">
        <v>255.645689</v>
      </c>
      <c r="AA26" s="16">
        <v>265.09087999999997</v>
      </c>
      <c r="AB26" s="16">
        <v>278.118039</v>
      </c>
      <c r="AC26" s="16">
        <v>283.11002900000005</v>
      </c>
      <c r="AD26" s="16">
        <v>297.724596</v>
      </c>
      <c r="AE26" s="16">
        <v>303.49388500000003</v>
      </c>
      <c r="AF26" s="16">
        <v>303.78529499999996</v>
      </c>
      <c r="AG26" s="16">
        <v>306.88021200000003</v>
      </c>
      <c r="AH26" s="16">
        <v>298.81213399999996</v>
      </c>
      <c r="AI26" s="16">
        <v>278.183724</v>
      </c>
      <c r="AJ26" s="34">
        <v>267.71425400000004</v>
      </c>
      <c r="AK26" s="34">
        <v>271.84013699999997</v>
      </c>
      <c r="AL26" s="47">
        <v>274.923008</v>
      </c>
      <c r="AM26" s="47">
        <v>288.46691699999997</v>
      </c>
      <c r="AN26" s="47">
        <v>291.06184099999996</v>
      </c>
      <c r="AO26" s="47">
        <v>305.68645899999996</v>
      </c>
      <c r="AP26" s="47">
        <v>309.45617300000004</v>
      </c>
      <c r="AQ26" s="47">
        <v>313.35536299999995</v>
      </c>
      <c r="AR26" s="47">
        <v>316.90753499999994</v>
      </c>
      <c r="AS26" s="47">
        <v>314.81422200000003</v>
      </c>
      <c r="AT26" s="47">
        <v>307.681535</v>
      </c>
      <c r="AU26" s="47">
        <v>288.613783</v>
      </c>
      <c r="AV26" s="47">
        <v>281.271576</v>
      </c>
      <c r="AW26" s="47">
        <v>268.691517</v>
      </c>
      <c r="AX26" s="47">
        <v>281.146914</v>
      </c>
      <c r="AY26" s="47">
        <v>293.62496</v>
      </c>
      <c r="AZ26" s="47">
        <v>287.089936</v>
      </c>
      <c r="BA26" s="47">
        <v>315.336837</v>
      </c>
      <c r="BB26" s="47">
        <v>320.783646</v>
      </c>
      <c r="BC26" s="47">
        <v>332.437512</v>
      </c>
      <c r="BD26" s="47">
        <v>332.62417</v>
      </c>
      <c r="BE26" s="47">
        <v>326.906235</v>
      </c>
      <c r="BF26" s="47">
        <v>324.281878</v>
      </c>
      <c r="BG26" s="47">
        <v>314.493685</v>
      </c>
      <c r="BH26" s="47">
        <v>289.565839</v>
      </c>
      <c r="BI26" s="47">
        <v>280.913723</v>
      </c>
      <c r="BJ26" s="47">
        <v>265.163913</v>
      </c>
      <c r="BK26" s="47">
        <v>310.21471</v>
      </c>
      <c r="BL26" s="47">
        <v>318.956003</v>
      </c>
      <c r="BM26" s="47">
        <v>333.385128</v>
      </c>
      <c r="BN26" s="47">
        <v>345.482508</v>
      </c>
      <c r="BO26" s="47">
        <v>351.0174610000002</v>
      </c>
      <c r="BP26" s="47">
        <v>343.667535</v>
      </c>
      <c r="BQ26" s="47">
        <v>333.112478</v>
      </c>
      <c r="BR26" s="47">
        <v>341.666245</v>
      </c>
      <c r="BS26" s="79"/>
      <c r="BT26" s="16">
        <f>+SUM(L26:W26)</f>
        <v>3217.902787</v>
      </c>
      <c r="BU26" s="16">
        <f>+SUM(X26:AI26)</f>
        <v>3373.866318</v>
      </c>
      <c r="BV26" s="37">
        <f>+SUM(AJ26:AU26)</f>
        <v>3550.521227</v>
      </c>
      <c r="BW26" s="47">
        <f>+SUM(AV26:BG26)</f>
        <v>3678.688866</v>
      </c>
      <c r="BX26" s="47">
        <f>+SUM(BH26:BR26)</f>
        <v>3513.1455430000005</v>
      </c>
      <c r="BY26" s="45"/>
      <c r="BZ26" s="45"/>
      <c r="CA26" s="45"/>
      <c r="CB26" s="45"/>
      <c r="CC26" s="45"/>
      <c r="CD26" s="45"/>
      <c r="CE26" s="45"/>
      <c r="CF26" s="45"/>
      <c r="CG26" s="45"/>
      <c r="CH26" s="45"/>
      <c r="CI26" s="45"/>
      <c r="CJ26" s="45"/>
      <c r="CK26" s="45"/>
      <c r="CL26" s="45"/>
      <c r="CM26" s="45"/>
      <c r="CN26" s="45"/>
      <c r="CO26" s="45"/>
      <c r="CP26" s="45"/>
    </row>
    <row r="27" spans="1:94" s="44" customFormat="1" ht="12.75">
      <c r="A27" s="22"/>
      <c r="B27" s="15"/>
      <c r="C27" s="47"/>
      <c r="D27" s="47"/>
      <c r="E27" s="47"/>
      <c r="F27" s="46"/>
      <c r="G27" s="35"/>
      <c r="H27" s="47"/>
      <c r="I27" s="47"/>
      <c r="J27" s="46"/>
      <c r="K27" s="2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5"/>
      <c r="BT27" s="47"/>
      <c r="BU27" s="47"/>
      <c r="BV27" s="47"/>
      <c r="BW27" s="47"/>
      <c r="BX27" s="47"/>
      <c r="BY27" s="45"/>
      <c r="BZ27" s="45"/>
      <c r="CA27" s="45"/>
      <c r="CB27" s="45"/>
      <c r="CC27" s="45"/>
      <c r="CD27" s="45"/>
      <c r="CE27" s="45"/>
      <c r="CF27" s="45"/>
      <c r="CG27" s="45"/>
      <c r="CH27" s="45"/>
      <c r="CI27" s="45"/>
      <c r="CJ27" s="45"/>
      <c r="CK27" s="45"/>
      <c r="CL27" s="45"/>
      <c r="CM27" s="45"/>
      <c r="CN27" s="45"/>
      <c r="CO27" s="45"/>
      <c r="CP27" s="45"/>
    </row>
    <row r="28" spans="1:94" ht="12.75">
      <c r="A28" s="22"/>
      <c r="B28" s="49" t="s">
        <v>24</v>
      </c>
      <c r="C28" s="47">
        <f>+(C32/C26)*100</f>
        <v>16.80435775341782</v>
      </c>
      <c r="D28" s="47">
        <f>+(D32/D26)*100</f>
        <v>17.32828920881496</v>
      </c>
      <c r="E28" s="47">
        <f>+C28-D28</f>
        <v>-0.5239314553971433</v>
      </c>
      <c r="F28" s="46">
        <f>+E28/D28</f>
        <v>-0.030235613515188647</v>
      </c>
      <c r="G28" s="35"/>
      <c r="H28" s="47">
        <f>+(H32/H26)*100</f>
        <v>17.80670108814438</v>
      </c>
      <c r="I28" s="47">
        <f>+D28-H28</f>
        <v>-0.47841187932941764</v>
      </c>
      <c r="J28" s="46">
        <f>+(I28/H28)</f>
        <v>-0.026866957386505585</v>
      </c>
      <c r="K28" s="20"/>
      <c r="L28" s="35">
        <f aca="true" t="shared" si="8" ref="L28:BA28">+(L32/L26)*100</f>
        <v>19.47559322858839</v>
      </c>
      <c r="M28" s="35">
        <f t="shared" si="8"/>
        <v>19.222498178939077</v>
      </c>
      <c r="N28" s="35">
        <f t="shared" si="8"/>
        <v>18.694698352327972</v>
      </c>
      <c r="O28" s="35">
        <f t="shared" si="8"/>
        <v>19.50869608478355</v>
      </c>
      <c r="P28" s="35">
        <f t="shared" si="8"/>
        <v>19.48995929361127</v>
      </c>
      <c r="Q28" s="35">
        <f t="shared" si="8"/>
        <v>19.442360989230973</v>
      </c>
      <c r="R28" s="35">
        <f t="shared" si="8"/>
        <v>19.651429630674457</v>
      </c>
      <c r="S28" s="35">
        <f t="shared" si="8"/>
        <v>20.017949248133977</v>
      </c>
      <c r="T28" s="35">
        <f t="shared" si="8"/>
        <v>19.503116114642687</v>
      </c>
      <c r="U28" s="35">
        <f t="shared" si="8"/>
        <v>19.84491647905287</v>
      </c>
      <c r="V28" s="35">
        <f t="shared" si="8"/>
        <v>19.422753936993374</v>
      </c>
      <c r="W28" s="35">
        <f t="shared" si="8"/>
        <v>19.114373193142</v>
      </c>
      <c r="X28" s="35">
        <f t="shared" si="8"/>
        <v>18.715726067618622</v>
      </c>
      <c r="Y28" s="35">
        <f t="shared" si="8"/>
        <v>18.463608378928203</v>
      </c>
      <c r="Z28" s="35">
        <f t="shared" si="8"/>
        <v>18.255591403287642</v>
      </c>
      <c r="AA28" s="35">
        <f t="shared" si="8"/>
        <v>18.355110778881954</v>
      </c>
      <c r="AB28" s="35">
        <f t="shared" si="8"/>
        <v>18.443364987886714</v>
      </c>
      <c r="AC28" s="35">
        <f t="shared" si="8"/>
        <v>18.458055798708376</v>
      </c>
      <c r="AD28" s="35">
        <f t="shared" si="8"/>
        <v>18.438308316854346</v>
      </c>
      <c r="AE28" s="35">
        <f t="shared" si="8"/>
        <v>18.49705255973807</v>
      </c>
      <c r="AF28" s="35">
        <f t="shared" si="8"/>
        <v>18.256062823827225</v>
      </c>
      <c r="AG28" s="35">
        <f t="shared" si="8"/>
        <v>18.06241054428101</v>
      </c>
      <c r="AH28" s="35">
        <f t="shared" si="8"/>
        <v>17.91024481337276</v>
      </c>
      <c r="AI28" s="35">
        <f t="shared" si="8"/>
        <v>17.737501788316237</v>
      </c>
      <c r="AJ28" s="35">
        <f t="shared" si="8"/>
        <v>17.710267961028155</v>
      </c>
      <c r="AK28" s="35">
        <f t="shared" si="8"/>
        <v>17.371670876211265</v>
      </c>
      <c r="AL28" s="35">
        <f t="shared" si="8"/>
        <v>17.1974300123198</v>
      </c>
      <c r="AM28" s="35">
        <f t="shared" si="8"/>
        <v>17.247867943104268</v>
      </c>
      <c r="AN28" s="35">
        <f t="shared" si="8"/>
        <v>17.32846421689909</v>
      </c>
      <c r="AO28" s="35">
        <f t="shared" si="8"/>
        <v>17.77107468022181</v>
      </c>
      <c r="AP28" s="35">
        <f t="shared" si="8"/>
        <v>17.890669216457333</v>
      </c>
      <c r="AQ28" s="35">
        <f t="shared" si="8"/>
        <v>18.044012703077943</v>
      </c>
      <c r="AR28" s="35">
        <f t="shared" si="8"/>
        <v>17.642360381394173</v>
      </c>
      <c r="AS28" s="35">
        <f t="shared" si="8"/>
        <v>16.68758470578905</v>
      </c>
      <c r="AT28" s="35">
        <f t="shared" si="8"/>
        <v>17.80670108814438</v>
      </c>
      <c r="AU28" s="35">
        <f t="shared" si="8"/>
        <v>17.054841960748192</v>
      </c>
      <c r="AV28" s="35">
        <f t="shared" si="8"/>
        <v>17.45578933309702</v>
      </c>
      <c r="AW28" s="35">
        <f t="shared" si="8"/>
        <v>18.05714793208198</v>
      </c>
      <c r="AX28" s="35">
        <f t="shared" si="8"/>
        <v>17.754580951840065</v>
      </c>
      <c r="AY28" s="35">
        <f t="shared" si="8"/>
        <v>17.23535387355815</v>
      </c>
      <c r="AZ28" s="35">
        <f t="shared" si="8"/>
        <v>17.536758680112282</v>
      </c>
      <c r="BA28" s="35">
        <f t="shared" si="8"/>
        <v>17.578038967514406</v>
      </c>
      <c r="BB28" s="35">
        <f aca="true" t="shared" si="9" ref="BB28:BG28">+(BB32/BB26)*100</f>
        <v>17.734070310464325</v>
      </c>
      <c r="BC28" s="35">
        <f t="shared" si="9"/>
        <v>17.578871363231436</v>
      </c>
      <c r="BD28" s="35">
        <f t="shared" si="9"/>
        <v>17.567348685864484</v>
      </c>
      <c r="BE28" s="35">
        <f t="shared" si="9"/>
        <v>17.957022408583747</v>
      </c>
      <c r="BF28" s="35">
        <f t="shared" si="9"/>
        <v>17.32828920881496</v>
      </c>
      <c r="BG28" s="35">
        <f t="shared" si="9"/>
        <v>17.323731753176684</v>
      </c>
      <c r="BH28" s="35">
        <f aca="true" t="shared" si="10" ref="BH28:BN28">+(BH32/BH26)*100</f>
        <v>17.251516827156273</v>
      </c>
      <c r="BI28" s="35">
        <f t="shared" si="10"/>
        <v>17.048273220467006</v>
      </c>
      <c r="BJ28" s="35">
        <f t="shared" si="10"/>
        <v>17.079568867260363</v>
      </c>
      <c r="BK28" s="35">
        <f t="shared" si="10"/>
        <v>17.00984450583519</v>
      </c>
      <c r="BL28" s="35">
        <f t="shared" si="10"/>
        <v>17.01426023490309</v>
      </c>
      <c r="BM28" s="35">
        <f t="shared" si="10"/>
        <v>17.41306641371139</v>
      </c>
      <c r="BN28" s="35">
        <f t="shared" si="10"/>
        <v>17.154250950055502</v>
      </c>
      <c r="BO28" s="35">
        <f>+(BO32/BO26)*100</f>
        <v>17.248340388867188</v>
      </c>
      <c r="BP28" s="35">
        <f>+(BP32/BP26)*100</f>
        <v>17.021421153740263</v>
      </c>
      <c r="BQ28" s="35">
        <f>+(BQ32/BQ26)*100</f>
        <v>16.952078748491708</v>
      </c>
      <c r="BR28" s="35">
        <f>+(BR32/BR26)*100</f>
        <v>16.80435775341782</v>
      </c>
      <c r="BS28" s="79"/>
      <c r="BT28" s="18">
        <f>+(BT32/BT26)*100</f>
        <v>19.461454555341838</v>
      </c>
      <c r="BU28" s="18">
        <f>+(BU32/BU26)*100</f>
        <v>18.29273305518501</v>
      </c>
      <c r="BV28" s="35">
        <f>+(BV32/BV26)*100</f>
        <v>17.48451913411036</v>
      </c>
      <c r="BW28" s="35">
        <f>+(BW32/BW26)*100</f>
        <v>17.58924057856683</v>
      </c>
      <c r="BX28" s="35">
        <f>+(BX32/BX26)*100</f>
        <v>17.09046583213952</v>
      </c>
      <c r="BY28" s="45"/>
      <c r="BZ28" s="45"/>
      <c r="CA28" s="45"/>
      <c r="CB28" s="45"/>
      <c r="CC28" s="45"/>
      <c r="CD28" s="45"/>
      <c r="CE28" s="45"/>
      <c r="CF28" s="45"/>
      <c r="CG28" s="45"/>
      <c r="CH28" s="45"/>
      <c r="CI28" s="45"/>
      <c r="CJ28" s="45"/>
      <c r="CK28" s="45"/>
      <c r="CL28" s="45"/>
      <c r="CM28" s="45"/>
      <c r="CN28" s="45"/>
      <c r="CO28" s="45"/>
      <c r="CP28" s="45"/>
    </row>
    <row r="29" spans="1:94" s="44" customFormat="1" ht="12.75" outlineLevel="1">
      <c r="A29" s="22"/>
      <c r="B29" s="15"/>
      <c r="C29" s="35"/>
      <c r="D29" s="35"/>
      <c r="E29" s="35"/>
      <c r="F29" s="46"/>
      <c r="G29" s="35"/>
      <c r="H29" s="35"/>
      <c r="I29" s="35"/>
      <c r="J29" s="46"/>
      <c r="K29" s="20"/>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5"/>
      <c r="BT29" s="35"/>
      <c r="BU29" s="35"/>
      <c r="BV29" s="35"/>
      <c r="BW29" s="35"/>
      <c r="BX29" s="35"/>
      <c r="BY29" s="45"/>
      <c r="BZ29" s="45"/>
      <c r="CA29" s="45"/>
      <c r="CB29" s="45"/>
      <c r="CC29" s="45"/>
      <c r="CD29" s="45"/>
      <c r="CE29" s="45"/>
      <c r="CF29" s="45"/>
      <c r="CG29" s="45"/>
      <c r="CH29" s="45"/>
      <c r="CI29" s="45"/>
      <c r="CJ29" s="45"/>
      <c r="CK29" s="45"/>
      <c r="CL29" s="45"/>
      <c r="CM29" s="45"/>
      <c r="CN29" s="45"/>
      <c r="CO29" s="45"/>
      <c r="CP29" s="45"/>
    </row>
    <row r="30" spans="1:94" ht="12.75">
      <c r="A30" s="22"/>
      <c r="B30" s="49" t="s">
        <v>15</v>
      </c>
      <c r="C30" s="47">
        <f>+C34/C26</f>
        <v>8.425284868619858</v>
      </c>
      <c r="D30" s="47">
        <f>+D34/D26</f>
        <v>8.312990949373992</v>
      </c>
      <c r="E30" s="47">
        <f>+C30-D30</f>
        <v>0.11229391924586629</v>
      </c>
      <c r="F30" s="46">
        <f>+E30/D30</f>
        <v>0.013508245098513257</v>
      </c>
      <c r="G30" s="35"/>
      <c r="H30" s="47">
        <f>+H34/H26</f>
        <v>8.29601739005885</v>
      </c>
      <c r="I30" s="47">
        <f>+D30-H30</f>
        <v>0.016973559315141884</v>
      </c>
      <c r="J30" s="46">
        <f>+(I30/H30)</f>
        <v>0.002045988878408255</v>
      </c>
      <c r="K30" s="20"/>
      <c r="L30" s="35">
        <f>+L34/L26</f>
        <v>8.368506605578602</v>
      </c>
      <c r="M30" s="35">
        <f>+M34/M26</f>
        <v>8.300601496134936</v>
      </c>
      <c r="N30" s="35">
        <f>+N34/N26</f>
        <v>8.079642986194273</v>
      </c>
      <c r="O30" s="35">
        <f>+O34/O26</f>
        <v>8.428459021685548</v>
      </c>
      <c r="P30" s="35">
        <f aca="true" t="shared" si="11" ref="P30:BA30">+P34/P26</f>
        <v>8.435898479024948</v>
      </c>
      <c r="Q30" s="35">
        <f t="shared" si="11"/>
        <v>8.453752424088508</v>
      </c>
      <c r="R30" s="35">
        <f t="shared" si="11"/>
        <v>8.563090810136764</v>
      </c>
      <c r="S30" s="35">
        <f t="shared" si="11"/>
        <v>8.728146159374385</v>
      </c>
      <c r="T30" s="35">
        <f t="shared" si="11"/>
        <v>8.535571272766898</v>
      </c>
      <c r="U30" s="35">
        <f t="shared" si="11"/>
        <v>8.713605152204927</v>
      </c>
      <c r="V30" s="35">
        <f t="shared" si="11"/>
        <v>8.574640871580211</v>
      </c>
      <c r="W30" s="35">
        <f t="shared" si="11"/>
        <v>8.460155375897001</v>
      </c>
      <c r="X30" s="35">
        <f t="shared" si="11"/>
        <v>8.348696527567487</v>
      </c>
      <c r="Y30" s="35">
        <f t="shared" si="11"/>
        <v>8.28678132180542</v>
      </c>
      <c r="Z30" s="35">
        <f t="shared" si="11"/>
        <v>8.169815287164898</v>
      </c>
      <c r="AA30" s="35">
        <f t="shared" si="11"/>
        <v>8.222561700990997</v>
      </c>
      <c r="AB30" s="35">
        <f t="shared" si="11"/>
        <v>8.274634145180361</v>
      </c>
      <c r="AC30" s="35">
        <f t="shared" si="11"/>
        <v>8.290409393338726</v>
      </c>
      <c r="AD30" s="35">
        <f t="shared" si="11"/>
        <v>8.308404340768677</v>
      </c>
      <c r="AE30" s="35">
        <f t="shared" si="11"/>
        <v>8.350172881704024</v>
      </c>
      <c r="AF30" s="35">
        <f t="shared" si="11"/>
        <v>8.25689295276785</v>
      </c>
      <c r="AG30" s="35">
        <f t="shared" si="11"/>
        <v>8.18839513373381</v>
      </c>
      <c r="AH30" s="35">
        <f t="shared" si="11"/>
        <v>8.137215256794088</v>
      </c>
      <c r="AI30" s="35">
        <f t="shared" si="11"/>
        <v>8.075476601679252</v>
      </c>
      <c r="AJ30" s="35">
        <f t="shared" si="11"/>
        <v>8.078609571494837</v>
      </c>
      <c r="AK30" s="35">
        <f t="shared" si="11"/>
        <v>7.950006203131076</v>
      </c>
      <c r="AL30" s="35">
        <f t="shared" si="11"/>
        <v>7.878039504063627</v>
      </c>
      <c r="AM30" s="35">
        <f t="shared" si="11"/>
        <v>7.908751127291315</v>
      </c>
      <c r="AN30" s="35">
        <f t="shared" si="11"/>
        <v>7.953938360198852</v>
      </c>
      <c r="AO30" s="35">
        <f t="shared" si="11"/>
        <v>8.166542276280543</v>
      </c>
      <c r="AP30" s="35">
        <f t="shared" si="11"/>
        <v>8.22872385276347</v>
      </c>
      <c r="AQ30" s="35">
        <f t="shared" si="11"/>
        <v>8.301346528190741</v>
      </c>
      <c r="AR30" s="35">
        <f t="shared" si="11"/>
        <v>8.146289336667232</v>
      </c>
      <c r="AS30" s="35">
        <f t="shared" si="11"/>
        <v>7.749230397411966</v>
      </c>
      <c r="AT30" s="35">
        <f t="shared" si="11"/>
        <v>8.29601739005885</v>
      </c>
      <c r="AU30" s="35">
        <f t="shared" si="11"/>
        <v>7.960193991601572</v>
      </c>
      <c r="AV30" s="35">
        <f t="shared" si="11"/>
        <v>8.166307012124113</v>
      </c>
      <c r="AW30" s="35">
        <f t="shared" si="11"/>
        <v>8.510062963171256</v>
      </c>
      <c r="AX30" s="35">
        <f t="shared" si="11"/>
        <v>8.400970578144067</v>
      </c>
      <c r="AY30" s="35">
        <f t="shared" si="11"/>
        <v>8.16888747230481</v>
      </c>
      <c r="AZ30" s="35">
        <f t="shared" si="11"/>
        <v>8.319473391362626</v>
      </c>
      <c r="BA30" s="35">
        <f t="shared" si="11"/>
        <v>8.350377099361848</v>
      </c>
      <c r="BB30" s="35">
        <f aca="true" t="shared" si="12" ref="BB30:BG30">+BB34/BB26</f>
        <v>8.430333673836978</v>
      </c>
      <c r="BC30" s="35">
        <f t="shared" si="12"/>
        <v>8.36423874012148</v>
      </c>
      <c r="BD30" s="35">
        <f t="shared" si="12"/>
        <v>8.383244196986647</v>
      </c>
      <c r="BE30" s="35">
        <f t="shared" si="12"/>
        <v>8.589095216339327</v>
      </c>
      <c r="BF30" s="35">
        <f t="shared" si="12"/>
        <v>8.312990949373992</v>
      </c>
      <c r="BG30" s="35">
        <f t="shared" si="12"/>
        <v>8.349842946862351</v>
      </c>
      <c r="BH30" s="35">
        <f aca="true" t="shared" si="13" ref="BH30:BN30">+BH34/BH26</f>
        <v>8.353995268999942</v>
      </c>
      <c r="BI30" s="35">
        <f t="shared" si="13"/>
        <v>8.32581404785981</v>
      </c>
      <c r="BJ30" s="35">
        <f t="shared" si="13"/>
        <v>8.403645630127658</v>
      </c>
      <c r="BK30" s="35">
        <f t="shared" si="13"/>
        <v>8.399580285892958</v>
      </c>
      <c r="BL30" s="35">
        <f t="shared" si="13"/>
        <v>8.405350812726356</v>
      </c>
      <c r="BM30" s="35">
        <f t="shared" si="13"/>
        <v>8.604858312066034</v>
      </c>
      <c r="BN30" s="35">
        <f t="shared" si="13"/>
        <v>8.505780945326471</v>
      </c>
      <c r="BO30" s="35">
        <f>+BO34/BO26</f>
        <v>8.577185715214318</v>
      </c>
      <c r="BP30" s="35">
        <f>+BP34/BP26</f>
        <v>8.480208190162628</v>
      </c>
      <c r="BQ30" s="35">
        <f>+BQ34/BQ26</f>
        <v>8.472140396133701</v>
      </c>
      <c r="BR30" s="35">
        <f>+BR34/BR26</f>
        <v>8.425284868619858</v>
      </c>
      <c r="BS30" s="45"/>
      <c r="BT30" s="18">
        <f>+BT34/BT26</f>
        <v>8.478364765989435</v>
      </c>
      <c r="BU30" s="18">
        <f>+BU34/BU26</f>
        <v>8.242100889360136</v>
      </c>
      <c r="BV30" s="35">
        <f>+BV34/BV26</f>
        <v>8.05557463598569</v>
      </c>
      <c r="BW30" s="35">
        <f>+BW34/BW26</f>
        <v>8.364004457347875</v>
      </c>
      <c r="BX30" s="35">
        <f>+BX34/BX26</f>
        <v>8.455692020999958</v>
      </c>
      <c r="BY30" s="45"/>
      <c r="BZ30" s="45"/>
      <c r="CA30" s="45"/>
      <c r="CB30" s="45"/>
      <c r="CC30" s="45"/>
      <c r="CD30" s="45"/>
      <c r="CE30" s="45"/>
      <c r="CF30" s="45"/>
      <c r="CG30" s="45"/>
      <c r="CH30" s="45"/>
      <c r="CI30" s="45"/>
      <c r="CJ30" s="45"/>
      <c r="CK30" s="45"/>
      <c r="CL30" s="45"/>
      <c r="CM30" s="45"/>
      <c r="CN30" s="45"/>
      <c r="CO30" s="45"/>
      <c r="CP30" s="45"/>
    </row>
    <row r="31" spans="1:94" s="44" customFormat="1" ht="12.75" outlineLevel="1">
      <c r="A31" s="22"/>
      <c r="B31" s="15"/>
      <c r="C31" s="35"/>
      <c r="D31" s="35"/>
      <c r="E31" s="35"/>
      <c r="F31" s="46"/>
      <c r="G31" s="35"/>
      <c r="H31" s="35"/>
      <c r="I31" s="35"/>
      <c r="J31" s="46"/>
      <c r="K31" s="20"/>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5"/>
      <c r="BT31" s="35"/>
      <c r="BU31" s="35"/>
      <c r="BV31" s="35"/>
      <c r="BW31" s="35"/>
      <c r="BX31" s="35"/>
      <c r="BY31" s="45"/>
      <c r="BZ31" s="45"/>
      <c r="CA31" s="45"/>
      <c r="CB31" s="45"/>
      <c r="CC31" s="45"/>
      <c r="CD31" s="45"/>
      <c r="CE31" s="45"/>
      <c r="CF31" s="45"/>
      <c r="CG31" s="45"/>
      <c r="CH31" s="45"/>
      <c r="CI31" s="45"/>
      <c r="CJ31" s="45"/>
      <c r="CK31" s="45"/>
      <c r="CL31" s="45"/>
      <c r="CM31" s="45"/>
      <c r="CN31" s="45"/>
      <c r="CO31" s="45"/>
      <c r="CP31" s="45"/>
    </row>
    <row r="32" spans="1:94" ht="12.75">
      <c r="A32" s="22"/>
      <c r="B32" s="49" t="s">
        <v>38</v>
      </c>
      <c r="C32" s="47">
        <f>+BR32</f>
        <v>57.414818132469016</v>
      </c>
      <c r="D32" s="47">
        <f>+BF32</f>
        <v>56.192501671616505</v>
      </c>
      <c r="E32" s="47">
        <f>+C32-D32</f>
        <v>1.222316460852511</v>
      </c>
      <c r="F32" s="46">
        <f>+E32/D32</f>
        <v>0.02175230545875336</v>
      </c>
      <c r="G32" s="35"/>
      <c r="H32" s="47">
        <f>+AT32</f>
        <v>54.78793124086433</v>
      </c>
      <c r="I32" s="47">
        <f>+D32-H32</f>
        <v>1.4045704307521731</v>
      </c>
      <c r="J32" s="46">
        <f>+(I32/H32)</f>
        <v>0.02563649327398869</v>
      </c>
      <c r="K32" s="20"/>
      <c r="L32" s="16">
        <f aca="true" t="shared" si="14" ref="L32:AY32">+L34/L82</f>
        <v>49.50092620109286</v>
      </c>
      <c r="M32" s="47">
        <f t="shared" si="14"/>
        <v>39.89310788018999</v>
      </c>
      <c r="N32" s="47">
        <f t="shared" si="14"/>
        <v>48.296089738979916</v>
      </c>
      <c r="O32" s="47">
        <f t="shared" si="14"/>
        <v>52.78901343869498</v>
      </c>
      <c r="P32" s="47">
        <f t="shared" si="14"/>
        <v>51.72608553750077</v>
      </c>
      <c r="Q32" s="47">
        <f t="shared" si="14"/>
        <v>55.26724438963136</v>
      </c>
      <c r="R32" s="47">
        <f t="shared" si="14"/>
        <v>56.760994796086756</v>
      </c>
      <c r="S32" s="47">
        <f t="shared" si="14"/>
        <v>57.304156012164725</v>
      </c>
      <c r="T32" s="47">
        <f t="shared" si="14"/>
        <v>53.75450228735944</v>
      </c>
      <c r="U32" s="47">
        <f t="shared" si="14"/>
        <v>55.20218643428949</v>
      </c>
      <c r="V32" s="47">
        <f t="shared" si="14"/>
        <v>54.97446942855071</v>
      </c>
      <c r="W32" s="47">
        <f t="shared" si="14"/>
        <v>50.78191238254254</v>
      </c>
      <c r="X32" s="47">
        <f t="shared" si="14"/>
        <v>47.157949093222875</v>
      </c>
      <c r="Y32" s="47">
        <f t="shared" si="14"/>
        <v>46.3532926344145</v>
      </c>
      <c r="Z32" s="47">
        <f t="shared" si="14"/>
        <v>46.669632423959456</v>
      </c>
      <c r="AA32" s="47">
        <f t="shared" si="14"/>
        <v>48.657724688713024</v>
      </c>
      <c r="AB32" s="47">
        <f t="shared" si="14"/>
        <v>51.294325029923115</v>
      </c>
      <c r="AC32" s="47">
        <f t="shared" si="14"/>
        <v>52.25660712455947</v>
      </c>
      <c r="AD32" s="47">
        <f t="shared" si="14"/>
        <v>54.895378945589</v>
      </c>
      <c r="AE32" s="47">
        <f t="shared" si="14"/>
        <v>56.13742342404102</v>
      </c>
      <c r="AF32" s="47">
        <f t="shared" si="14"/>
        <v>55.459234304748854</v>
      </c>
      <c r="AG32" s="47">
        <f t="shared" si="14"/>
        <v>55.429963770599926</v>
      </c>
      <c r="AH32" s="47">
        <f t="shared" si="14"/>
        <v>53.51798473146346</v>
      </c>
      <c r="AI32" s="47">
        <f t="shared" si="14"/>
        <v>49.3428430193047</v>
      </c>
      <c r="AJ32" s="47">
        <f t="shared" si="14"/>
        <v>47.412911753267544</v>
      </c>
      <c r="AK32" s="47">
        <f t="shared" si="14"/>
        <v>47.223173909081794</v>
      </c>
      <c r="AL32" s="47">
        <f t="shared" si="14"/>
        <v>47.279691888564365</v>
      </c>
      <c r="AM32" s="47">
        <f t="shared" si="14"/>
        <v>49.754392903704186</v>
      </c>
      <c r="AN32" s="47">
        <f t="shared" si="14"/>
        <v>50.43654696673271</v>
      </c>
      <c r="AO32" s="47">
        <f t="shared" si="14"/>
        <v>54.32376891621562</v>
      </c>
      <c r="AP32" s="47">
        <f t="shared" si="14"/>
        <v>55.36378028133796</v>
      </c>
      <c r="AQ32" s="47">
        <f t="shared" si="14"/>
        <v>56.541881505495994</v>
      </c>
      <c r="AR32" s="47">
        <f t="shared" si="14"/>
        <v>55.90996940049286</v>
      </c>
      <c r="AS32" s="47">
        <f t="shared" si="14"/>
        <v>52.534889962120786</v>
      </c>
      <c r="AT32" s="47">
        <f t="shared" si="14"/>
        <v>54.78793124086433</v>
      </c>
      <c r="AU32" s="47">
        <f t="shared" si="14"/>
        <v>49.22262456758673</v>
      </c>
      <c r="AV32" s="47">
        <f t="shared" si="14"/>
        <v>49.098173760441874</v>
      </c>
      <c r="AW32" s="47">
        <f t="shared" si="14"/>
        <v>48.518024705645196</v>
      </c>
      <c r="AX32" s="47">
        <f t="shared" si="14"/>
        <v>49.91645643973017</v>
      </c>
      <c r="AY32" s="47">
        <f t="shared" si="14"/>
        <v>50.60730091709356</v>
      </c>
      <c r="AZ32" s="47">
        <v>50.3462692712088</v>
      </c>
      <c r="BA32" s="47">
        <v>55.430032086787385</v>
      </c>
      <c r="BB32" s="47">
        <v>56.88799732611098</v>
      </c>
      <c r="BC32" s="47">
        <v>58.43876259760707</v>
      </c>
      <c r="BD32" s="47">
        <v>58.43324775736264</v>
      </c>
      <c r="BE32" s="47">
        <v>58.702625874007445</v>
      </c>
      <c r="BF32" s="47">
        <v>56.192501671616505</v>
      </c>
      <c r="BG32" s="47">
        <v>54.482042370080464</v>
      </c>
      <c r="BH32" s="47">
        <v>49.954499440781234</v>
      </c>
      <c r="BI32" s="47">
        <v>47.89093901082587</v>
      </c>
      <c r="BJ32" s="47">
        <v>45.28885313195735</v>
      </c>
      <c r="BK32" s="47">
        <v>52.76703980522757</v>
      </c>
      <c r="BL32" s="47">
        <v>54.268004385265314</v>
      </c>
      <c r="BM32" s="47">
        <v>58.05257375207673</v>
      </c>
      <c r="BN32" s="47">
        <v>59.26493641086558</v>
      </c>
      <c r="BO32" s="47">
        <v>60.544686497639155</v>
      </c>
      <c r="BP32" s="47">
        <v>58.497098501027715</v>
      </c>
      <c r="BQ32" s="47">
        <v>56.469489591612124</v>
      </c>
      <c r="BR32" s="47">
        <v>57.414818132469016</v>
      </c>
      <c r="BS32" s="45"/>
      <c r="BT32" s="16">
        <f>+SUM(L32:W32)</f>
        <v>626.2506885270835</v>
      </c>
      <c r="BU32" s="16">
        <f>+SUM(X32:AI32)</f>
        <v>617.1723591905394</v>
      </c>
      <c r="BV32" s="37">
        <f>+SUM(AJ32:AU32)</f>
        <v>620.7915632954649</v>
      </c>
      <c r="BW32" s="47">
        <f>+SUM(AV32:BG32)</f>
        <v>647.053434777692</v>
      </c>
      <c r="BX32" s="47">
        <f>+SUM(BH32:BR32)</f>
        <v>600.4129386597476</v>
      </c>
      <c r="BY32" s="45"/>
      <c r="BZ32" s="45"/>
      <c r="CA32" s="45"/>
      <c r="CB32" s="45"/>
      <c r="CC32" s="45"/>
      <c r="CD32" s="45"/>
      <c r="CE32" s="45"/>
      <c r="CF32" s="45"/>
      <c r="CG32" s="45"/>
      <c r="CH32" s="45"/>
      <c r="CI32" s="45"/>
      <c r="CJ32" s="45"/>
      <c r="CK32" s="45"/>
      <c r="CL32" s="45"/>
      <c r="CM32" s="45"/>
      <c r="CN32" s="45"/>
      <c r="CO32" s="45"/>
      <c r="CP32" s="45"/>
    </row>
    <row r="33" spans="1:94" s="44" customFormat="1" ht="12.75" outlineLevel="1">
      <c r="A33" s="22"/>
      <c r="B33" s="15"/>
      <c r="C33" s="47"/>
      <c r="D33" s="47"/>
      <c r="E33" s="47"/>
      <c r="F33" s="46"/>
      <c r="G33" s="35"/>
      <c r="H33" s="47"/>
      <c r="I33" s="47"/>
      <c r="J33" s="46"/>
      <c r="K33" s="20"/>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5"/>
      <c r="BT33" s="47"/>
      <c r="BU33" s="47"/>
      <c r="BV33" s="47"/>
      <c r="BW33" s="47"/>
      <c r="BX33" s="47"/>
      <c r="BY33" s="45"/>
      <c r="BZ33" s="45"/>
      <c r="CA33" s="45"/>
      <c r="CB33" s="45"/>
      <c r="CC33" s="45"/>
      <c r="CD33" s="45"/>
      <c r="CE33" s="45"/>
      <c r="CF33" s="45"/>
      <c r="CG33" s="45"/>
      <c r="CH33" s="45"/>
      <c r="CI33" s="45"/>
      <c r="CJ33" s="45"/>
      <c r="CK33" s="45"/>
      <c r="CL33" s="45"/>
      <c r="CM33" s="45"/>
      <c r="CN33" s="45"/>
      <c r="CO33" s="45"/>
      <c r="CP33" s="45"/>
    </row>
    <row r="34" spans="1:94" ht="12.75">
      <c r="A34" s="22"/>
      <c r="B34" s="49" t="s">
        <v>39</v>
      </c>
      <c r="C34" s="47">
        <f>+BR34</f>
        <v>2878.6354441166654</v>
      </c>
      <c r="D34" s="47">
        <f>+BF34</f>
        <v>2695.752316860001</v>
      </c>
      <c r="E34" s="47">
        <f>+C34-D34</f>
        <v>182.88312725666447</v>
      </c>
      <c r="F34" s="46">
        <f>+E34/D34</f>
        <v>0.06784122046853541</v>
      </c>
      <c r="G34" s="35"/>
      <c r="H34" s="47">
        <f>+AT34</f>
        <v>2552.5313649600007</v>
      </c>
      <c r="I34" s="47">
        <f>+D34-H34</f>
        <v>143.22095190000027</v>
      </c>
      <c r="J34" s="46">
        <f>+(I34/H34)</f>
        <v>0.05610937983606114</v>
      </c>
      <c r="K34" s="20"/>
      <c r="L34" s="16">
        <v>2127.0151981199992</v>
      </c>
      <c r="M34" s="16">
        <v>1722.65221655</v>
      </c>
      <c r="N34" s="16">
        <v>2087.303872819999</v>
      </c>
      <c r="O34" s="16">
        <v>2280.6754210000026</v>
      </c>
      <c r="P34" s="16">
        <v>2238.8759244600005</v>
      </c>
      <c r="Q34" s="16">
        <v>2403.08058003</v>
      </c>
      <c r="R34" s="16">
        <v>2473.3546721400007</v>
      </c>
      <c r="S34" s="16">
        <v>2498.5528887800015</v>
      </c>
      <c r="T34" s="16">
        <v>2352.574751690001</v>
      </c>
      <c r="U34" s="16">
        <v>2423.84520305</v>
      </c>
      <c r="V34" s="16">
        <v>2426.9798916499994</v>
      </c>
      <c r="W34" s="16">
        <v>2247.6429893900004</v>
      </c>
      <c r="X34" s="16">
        <v>2103.6181253100017</v>
      </c>
      <c r="Y34" s="16">
        <v>2080.4145740300014</v>
      </c>
      <c r="Z34" s="16">
        <v>2088.578058090003</v>
      </c>
      <c r="AA34" s="16">
        <v>2179.72611717</v>
      </c>
      <c r="AB34" s="16">
        <v>2301.3250219000033</v>
      </c>
      <c r="AC34" s="16">
        <v>2347.0980437699995</v>
      </c>
      <c r="AD34" s="16">
        <v>2473.616325760001</v>
      </c>
      <c r="AE34" s="16">
        <v>2534.22640829</v>
      </c>
      <c r="AF34" s="16">
        <v>2508.322661440002</v>
      </c>
      <c r="AG34" s="16">
        <v>2512.85643458</v>
      </c>
      <c r="AH34" s="16">
        <v>2431.498655699999</v>
      </c>
      <c r="AI34" s="16">
        <v>2246.466154129999</v>
      </c>
      <c r="AJ34" s="47">
        <v>2162.7589347900002</v>
      </c>
      <c r="AK34" s="34">
        <v>2161.130775410001</v>
      </c>
      <c r="AL34" s="47">
        <v>2165.8543176000003</v>
      </c>
      <c r="AM34" s="47">
        <v>2281.41305501</v>
      </c>
      <c r="AN34" s="47">
        <v>2315.0879423199985</v>
      </c>
      <c r="AO34" s="47">
        <v>2496.4013907099984</v>
      </c>
      <c r="AP34" s="47">
        <v>2546.429392149999</v>
      </c>
      <c r="AQ34" s="47">
        <v>2601.2714547299993</v>
      </c>
      <c r="AR34" s="47">
        <v>2581.6204730799973</v>
      </c>
      <c r="AS34" s="47">
        <v>2439.567938659999</v>
      </c>
      <c r="AT34" s="47">
        <v>2552.5313649600007</v>
      </c>
      <c r="AU34" s="47">
        <v>2297.42170133</v>
      </c>
      <c r="AV34" s="47">
        <v>2296.9500434</v>
      </c>
      <c r="AW34" s="47">
        <v>2286.58172734</v>
      </c>
      <c r="AX34" s="47">
        <v>2361.90695265</v>
      </c>
      <c r="AY34" s="47">
        <v>2398.589257300001</v>
      </c>
      <c r="AZ34" s="47">
        <v>2388.4370834799993</v>
      </c>
      <c r="BA34" s="47">
        <v>2633.1815022700002</v>
      </c>
      <c r="BB34" s="47">
        <v>2704.3131728900007</v>
      </c>
      <c r="BC34" s="47">
        <v>2780.58671654</v>
      </c>
      <c r="BD34" s="47">
        <v>2788.4696429299997</v>
      </c>
      <c r="BE34" s="47">
        <v>2807.82877923</v>
      </c>
      <c r="BF34" s="47">
        <v>2695.752316860001</v>
      </c>
      <c r="BG34" s="47">
        <v>2625.97287753</v>
      </c>
      <c r="BH34" s="47">
        <v>2419.031649069999</v>
      </c>
      <c r="BI34" s="47">
        <v>2338.8354211899996</v>
      </c>
      <c r="BJ34" s="47">
        <v>2228.3435587500003</v>
      </c>
      <c r="BK34" s="47">
        <v>2605.673362510001</v>
      </c>
      <c r="BL34" s="47">
        <v>2680.9370990400002</v>
      </c>
      <c r="BM34" s="47">
        <v>2868.731789789999</v>
      </c>
      <c r="BN34" s="47">
        <v>2938.59853349</v>
      </c>
      <c r="BO34" s="47">
        <v>3010.741952280001</v>
      </c>
      <c r="BP34" s="47">
        <v>2914.3722450000014</v>
      </c>
      <c r="BQ34" s="47">
        <v>2822.175681319999</v>
      </c>
      <c r="BR34" s="47">
        <v>2878.6354441166654</v>
      </c>
      <c r="BS34" s="45"/>
      <c r="BT34" s="16">
        <f>+SUM(L34:W34)</f>
        <v>27282.553609680006</v>
      </c>
      <c r="BU34" s="47">
        <f>+SUM(X34:AI34)</f>
        <v>27807.746580170005</v>
      </c>
      <c r="BV34" s="40">
        <f>+SUM(AJ34:AU34)</f>
        <v>28601.488740749992</v>
      </c>
      <c r="BW34" s="47">
        <f>+SUM(AV34:BG34)</f>
        <v>30768.57007242</v>
      </c>
      <c r="BX34" s="47">
        <f>+SUM(BH34:BR34)</f>
        <v>29706.076736556668</v>
      </c>
      <c r="BY34" s="45"/>
      <c r="BZ34" s="45"/>
      <c r="CA34" s="45"/>
      <c r="CB34" s="45"/>
      <c r="CC34" s="45"/>
      <c r="CD34" s="45"/>
      <c r="CE34" s="45"/>
      <c r="CF34" s="45"/>
      <c r="CG34" s="45"/>
      <c r="CH34" s="45"/>
      <c r="CI34" s="45"/>
      <c r="CJ34" s="45"/>
      <c r="CK34" s="45"/>
      <c r="CL34" s="45"/>
      <c r="CM34" s="45"/>
      <c r="CN34" s="45"/>
      <c r="CO34" s="45"/>
      <c r="CP34" s="45"/>
    </row>
    <row r="35" spans="1:94" s="44" customFormat="1" ht="12.75" outlineLevel="1">
      <c r="A35" s="22"/>
      <c r="B35" s="15"/>
      <c r="C35" s="47"/>
      <c r="D35" s="47"/>
      <c r="E35" s="47"/>
      <c r="F35" s="46"/>
      <c r="G35" s="35"/>
      <c r="H35" s="47"/>
      <c r="I35" s="47"/>
      <c r="J35" s="46"/>
      <c r="K35" s="2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47"/>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45"/>
      <c r="BT35" s="47"/>
      <c r="BU35" s="47"/>
      <c r="BV35" s="47"/>
      <c r="BW35" s="47"/>
      <c r="BX35" s="47"/>
      <c r="BY35" s="45"/>
      <c r="BZ35" s="45"/>
      <c r="CA35" s="45"/>
      <c r="CB35" s="45"/>
      <c r="CC35" s="45"/>
      <c r="CD35" s="45"/>
      <c r="CE35" s="45"/>
      <c r="CF35" s="45"/>
      <c r="CG35" s="45"/>
      <c r="CH35" s="45"/>
      <c r="CI35" s="45"/>
      <c r="CJ35" s="45"/>
      <c r="CK35" s="45"/>
      <c r="CL35" s="45"/>
      <c r="CM35" s="45"/>
      <c r="CN35" s="45"/>
      <c r="CO35" s="45"/>
      <c r="CP35" s="45"/>
    </row>
    <row r="36" spans="1:94" ht="12.75">
      <c r="A36" s="22"/>
      <c r="B36" s="49" t="s">
        <v>16</v>
      </c>
      <c r="C36" s="47">
        <f>+BR36</f>
        <v>316.585698</v>
      </c>
      <c r="D36" s="47">
        <f>+BF36</f>
        <v>314.048321</v>
      </c>
      <c r="E36" s="47">
        <f>+C36-D36</f>
        <v>2.537376999999992</v>
      </c>
      <c r="F36" s="46">
        <f>+E36/D36</f>
        <v>0.008079575117359065</v>
      </c>
      <c r="G36" s="35"/>
      <c r="H36" s="47">
        <f>+AT36</f>
        <v>294.691141</v>
      </c>
      <c r="I36" s="47">
        <f>+D36-H36</f>
        <v>19.35717999999997</v>
      </c>
      <c r="J36" s="46">
        <f>+(I36/H36)</f>
        <v>0.06568633157519985</v>
      </c>
      <c r="K36" s="20"/>
      <c r="L36" s="16">
        <v>255.26237799999998</v>
      </c>
      <c r="M36" s="16">
        <v>221.237049</v>
      </c>
      <c r="N36" s="16">
        <v>288.018652</v>
      </c>
      <c r="O36" s="16">
        <v>260.459311</v>
      </c>
      <c r="P36" s="16">
        <v>280.90723500000007</v>
      </c>
      <c r="Q36" s="16">
        <v>243.064459</v>
      </c>
      <c r="R36" s="16">
        <v>294.241544</v>
      </c>
      <c r="S36" s="16">
        <v>264.123706</v>
      </c>
      <c r="T36" s="16">
        <v>274.131984</v>
      </c>
      <c r="U36" s="16">
        <v>274.412596</v>
      </c>
      <c r="V36" s="16">
        <v>223.952594</v>
      </c>
      <c r="W36" s="16">
        <v>279.852717</v>
      </c>
      <c r="X36" s="16">
        <v>239.403258</v>
      </c>
      <c r="Y36" s="16">
        <v>255.97787599999998</v>
      </c>
      <c r="Z36" s="16">
        <v>267.78096600000003</v>
      </c>
      <c r="AA36" s="16">
        <v>234.236827</v>
      </c>
      <c r="AB36" s="16">
        <v>262.487456</v>
      </c>
      <c r="AC36" s="16">
        <v>266.77337299999994</v>
      </c>
      <c r="AD36" s="16">
        <v>296.561325</v>
      </c>
      <c r="AE36" s="16">
        <v>282.5524909999999</v>
      </c>
      <c r="AF36" s="16">
        <v>280.321214</v>
      </c>
      <c r="AG36" s="47">
        <v>284.584535</v>
      </c>
      <c r="AH36" s="16">
        <v>285.21072200000003</v>
      </c>
      <c r="AI36" s="16">
        <v>285.539035</v>
      </c>
      <c r="AJ36" s="34">
        <v>238.04896800000003</v>
      </c>
      <c r="AK36" s="34">
        <v>264.134446</v>
      </c>
      <c r="AL36" s="47">
        <v>275.55258000000003</v>
      </c>
      <c r="AM36" s="47">
        <f>274.990301-5.927355</f>
        <v>269.062946</v>
      </c>
      <c r="AN36" s="47">
        <v>274.993593</v>
      </c>
      <c r="AO36" s="47">
        <v>257.328513</v>
      </c>
      <c r="AP36" s="47">
        <v>301.652605</v>
      </c>
      <c r="AQ36" s="47">
        <v>307.875698</v>
      </c>
      <c r="AR36" s="47">
        <v>295.620741</v>
      </c>
      <c r="AS36" s="47">
        <v>300.214399</v>
      </c>
      <c r="AT36" s="47">
        <v>294.691141</v>
      </c>
      <c r="AU36" s="47">
        <v>307.224356</v>
      </c>
      <c r="AV36" s="47">
        <v>252.578661</v>
      </c>
      <c r="AW36" s="47">
        <v>258.811184</v>
      </c>
      <c r="AX36" s="47">
        <v>292.968308</v>
      </c>
      <c r="AY36" s="47">
        <v>273.531427</v>
      </c>
      <c r="AZ36" s="47">
        <v>288.81981</v>
      </c>
      <c r="BA36" s="47">
        <v>291.480952</v>
      </c>
      <c r="BB36" s="47">
        <v>306.159557</v>
      </c>
      <c r="BC36" s="47">
        <v>322.18077400000004</v>
      </c>
      <c r="BD36" s="47">
        <v>317.853334</v>
      </c>
      <c r="BE36" s="47">
        <v>318.674895</v>
      </c>
      <c r="BF36" s="47">
        <v>314.048321</v>
      </c>
      <c r="BG36" s="47">
        <v>306.953726</v>
      </c>
      <c r="BH36" s="47">
        <v>255.637</v>
      </c>
      <c r="BI36" s="47">
        <v>263.336111</v>
      </c>
      <c r="BJ36" s="47">
        <v>299.47698</v>
      </c>
      <c r="BK36" s="47">
        <v>266.724035</v>
      </c>
      <c r="BL36" s="47">
        <v>306.509309</v>
      </c>
      <c r="BM36" s="47">
        <v>320.456256</v>
      </c>
      <c r="BN36" s="47">
        <v>336.588772</v>
      </c>
      <c r="BO36" s="47">
        <v>341.463272</v>
      </c>
      <c r="BP36" s="47">
        <v>323.025899</v>
      </c>
      <c r="BQ36" s="47">
        <v>354.535526</v>
      </c>
      <c r="BR36" s="47">
        <v>316.585698</v>
      </c>
      <c r="BS36" s="45"/>
      <c r="BT36" s="16">
        <f>+SUM(L36:W36)</f>
        <v>3159.6642250000004</v>
      </c>
      <c r="BU36" s="16">
        <f>+SUM(X36:AI36)</f>
        <v>3241.429078</v>
      </c>
      <c r="BV36" s="37">
        <f>+SUM(AJ36:AU36)</f>
        <v>3386.399986</v>
      </c>
      <c r="BW36" s="47">
        <f>+SUM(AV36:BG36)</f>
        <v>3544.060949</v>
      </c>
      <c r="BX36" s="47">
        <f>+SUM(BH36:BR36)</f>
        <v>3384.3388579999996</v>
      </c>
      <c r="BY36" s="45"/>
      <c r="BZ36" s="45"/>
      <c r="CA36" s="45"/>
      <c r="CB36" s="45"/>
      <c r="CC36" s="45"/>
      <c r="CD36" s="45"/>
      <c r="CE36" s="45"/>
      <c r="CF36" s="45"/>
      <c r="CG36" s="45"/>
      <c r="CH36" s="45"/>
      <c r="CI36" s="45"/>
      <c r="CJ36" s="45"/>
      <c r="CK36" s="45"/>
      <c r="CL36" s="45"/>
      <c r="CM36" s="45"/>
      <c r="CN36" s="45"/>
      <c r="CO36" s="45"/>
      <c r="CP36" s="45"/>
    </row>
    <row r="37" spans="1:94" s="44" customFormat="1" ht="12.75" outlineLevel="1">
      <c r="A37" s="22"/>
      <c r="B37" s="15"/>
      <c r="C37" s="47"/>
      <c r="D37" s="47"/>
      <c r="E37" s="47"/>
      <c r="F37" s="46"/>
      <c r="G37" s="35"/>
      <c r="H37" s="47"/>
      <c r="I37" s="47"/>
      <c r="J37" s="46"/>
      <c r="K37" s="20"/>
      <c r="L37" s="47"/>
      <c r="M37" s="47"/>
      <c r="N37" s="47"/>
      <c r="O37" s="47"/>
      <c r="P37" s="47"/>
      <c r="Q37" s="47"/>
      <c r="R37" s="47"/>
      <c r="S37" s="47"/>
      <c r="T37" s="47"/>
      <c r="U37" s="47"/>
      <c r="V37" s="47"/>
      <c r="W37" s="47"/>
      <c r="X37" s="47"/>
      <c r="Y37" s="47"/>
      <c r="Z37" s="47"/>
      <c r="AA37" s="47"/>
      <c r="AB37" s="47"/>
      <c r="AC37" s="47"/>
      <c r="AD37" s="6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5"/>
      <c r="BT37" s="47"/>
      <c r="BU37" s="47"/>
      <c r="BV37" s="47"/>
      <c r="BW37" s="47"/>
      <c r="BX37" s="47"/>
      <c r="BY37" s="45"/>
      <c r="BZ37" s="45"/>
      <c r="CA37" s="45"/>
      <c r="CB37" s="45"/>
      <c r="CC37" s="45"/>
      <c r="CD37" s="45"/>
      <c r="CE37" s="45"/>
      <c r="CF37" s="45"/>
      <c r="CG37" s="45"/>
      <c r="CH37" s="45"/>
      <c r="CI37" s="45"/>
      <c r="CJ37" s="45"/>
      <c r="CK37" s="45"/>
      <c r="CL37" s="45"/>
      <c r="CM37" s="45"/>
      <c r="CN37" s="45"/>
      <c r="CO37" s="45"/>
      <c r="CP37" s="45"/>
    </row>
    <row r="38" spans="1:94" ht="12.75">
      <c r="A38" s="22"/>
      <c r="B38" s="49" t="s">
        <v>36</v>
      </c>
      <c r="C38" s="47">
        <f>+BR38</f>
        <v>53.374190471270666</v>
      </c>
      <c r="D38" s="47">
        <f>+BF38</f>
        <v>54.62894895725223</v>
      </c>
      <c r="E38" s="47">
        <f>+C38-D38</f>
        <v>-1.2547584859815615</v>
      </c>
      <c r="F38" s="46">
        <f>+E38/D38</f>
        <v>-0.022968746606555148</v>
      </c>
      <c r="G38" s="35"/>
      <c r="H38" s="47">
        <f>+AT38</f>
        <v>53.21701237816408</v>
      </c>
      <c r="I38" s="47">
        <f>+D38-H38</f>
        <v>1.4119365790881488</v>
      </c>
      <c r="J38" s="46">
        <f>+(I38/H38)</f>
        <v>0.026531676920433296</v>
      </c>
      <c r="K38" s="20"/>
      <c r="L38" s="47">
        <f aca="true" t="shared" si="15" ref="L38:AY38">+L40/L82</f>
        <v>49.65204892806941</v>
      </c>
      <c r="M38" s="47">
        <f t="shared" si="15"/>
        <v>43.74087477148885</v>
      </c>
      <c r="N38" s="47">
        <f t="shared" si="15"/>
        <v>48.13159446168227</v>
      </c>
      <c r="O38" s="47">
        <f t="shared" si="15"/>
        <v>47.161789382829205</v>
      </c>
      <c r="P38" s="47">
        <f t="shared" si="15"/>
        <v>54.373003151583575</v>
      </c>
      <c r="Q38" s="47">
        <f t="shared" si="15"/>
        <v>47.326243289153226</v>
      </c>
      <c r="R38" s="47">
        <f t="shared" si="15"/>
        <v>57.253065511796926</v>
      </c>
      <c r="S38" s="47">
        <f t="shared" si="15"/>
        <v>53.31962071712965</v>
      </c>
      <c r="T38" s="47">
        <f t="shared" si="15"/>
        <v>53.8361031832774</v>
      </c>
      <c r="U38" s="47">
        <f t="shared" si="15"/>
        <v>53.15851061981166</v>
      </c>
      <c r="V38" s="47">
        <f t="shared" si="15"/>
        <v>43.68817091244332</v>
      </c>
      <c r="W38" s="47">
        <f t="shared" si="15"/>
        <v>52.85206403807441</v>
      </c>
      <c r="X38" s="47">
        <f t="shared" si="15"/>
        <v>44.93623658829409</v>
      </c>
      <c r="Y38" s="47">
        <f t="shared" si="15"/>
        <v>48.051338785518375</v>
      </c>
      <c r="Z38" s="47">
        <f t="shared" si="15"/>
        <v>48.687811943493536</v>
      </c>
      <c r="AA38" s="47">
        <f t="shared" si="15"/>
        <v>43.60017841133722</v>
      </c>
      <c r="AB38" s="47">
        <f t="shared" si="15"/>
        <v>47.286665964413324</v>
      </c>
      <c r="AC38" s="47">
        <f t="shared" si="15"/>
        <v>49.69162316449536</v>
      </c>
      <c r="AD38" s="47">
        <f t="shared" si="15"/>
        <v>54.35437364335222</v>
      </c>
      <c r="AE38" s="47">
        <f t="shared" si="15"/>
        <v>51.914204818965224</v>
      </c>
      <c r="AF38" s="47">
        <f t="shared" si="15"/>
        <v>51.353194191785214</v>
      </c>
      <c r="AG38" s="47">
        <f t="shared" si="15"/>
        <v>50.98777622529718</v>
      </c>
      <c r="AH38" s="47">
        <f t="shared" si="15"/>
        <v>51.418929577864695</v>
      </c>
      <c r="AI38" s="47">
        <f t="shared" si="15"/>
        <v>50.714472977989224</v>
      </c>
      <c r="AJ38" s="47">
        <f t="shared" si="15"/>
        <v>41.79462418043029</v>
      </c>
      <c r="AK38" s="47">
        <f t="shared" si="15"/>
        <v>45.685205670589674</v>
      </c>
      <c r="AL38" s="47">
        <f t="shared" si="15"/>
        <v>47.2952620248246</v>
      </c>
      <c r="AM38" s="47">
        <f t="shared" si="15"/>
        <v>46.00664550579564</v>
      </c>
      <c r="AN38" s="47">
        <f t="shared" si="15"/>
        <v>47.79903200627437</v>
      </c>
      <c r="AO38" s="47">
        <f t="shared" si="15"/>
        <v>44.791509221013676</v>
      </c>
      <c r="AP38" s="47">
        <f t="shared" si="15"/>
        <v>53.97639569622455</v>
      </c>
      <c r="AQ38" s="47">
        <f t="shared" si="15"/>
        <v>54.95079726079802</v>
      </c>
      <c r="AR38" s="47">
        <f t="shared" si="15"/>
        <v>52.99520446457577</v>
      </c>
      <c r="AS38" s="47">
        <f t="shared" si="15"/>
        <v>52.53946127062198</v>
      </c>
      <c r="AT38" s="47">
        <f t="shared" si="15"/>
        <v>53.21701237816408</v>
      </c>
      <c r="AU38" s="47">
        <f t="shared" si="15"/>
        <v>53.7267752078776</v>
      </c>
      <c r="AV38" s="47">
        <f t="shared" si="15"/>
        <v>43.24992844613976</v>
      </c>
      <c r="AW38" s="47">
        <f t="shared" si="15"/>
        <v>45.582883103430476</v>
      </c>
      <c r="AX38" s="47">
        <f t="shared" si="15"/>
        <v>50.64854169266145</v>
      </c>
      <c r="AY38" s="47">
        <f t="shared" si="15"/>
        <v>47.308823813275836</v>
      </c>
      <c r="AZ38" s="47">
        <v>50.24630139375468</v>
      </c>
      <c r="BA38" s="47">
        <v>51.05090580238545</v>
      </c>
      <c r="BB38" s="47">
        <v>54.35051469282147</v>
      </c>
      <c r="BC38" s="47">
        <v>56.31272375608589</v>
      </c>
      <c r="BD38" s="47">
        <v>56.4896277152844</v>
      </c>
      <c r="BE38" s="47">
        <v>57.967334928519755</v>
      </c>
      <c r="BF38" s="47">
        <v>54.62894895725223</v>
      </c>
      <c r="BG38" s="47">
        <v>53.25661032011747</v>
      </c>
      <c r="BH38" s="47">
        <v>43.924255602822555</v>
      </c>
      <c r="BI38" s="47">
        <v>45.8779574281227</v>
      </c>
      <c r="BJ38" s="47">
        <v>49.68942355188603</v>
      </c>
      <c r="BK38" s="47">
        <v>44.53676993704011</v>
      </c>
      <c r="BL38" s="47">
        <v>52.13510049815998</v>
      </c>
      <c r="BM38" s="47">
        <v>55.305084646906586</v>
      </c>
      <c r="BN38" s="47">
        <v>57.4875695436642</v>
      </c>
      <c r="BO38" s="47">
        <v>58.792907239842684</v>
      </c>
      <c r="BP38" s="47">
        <v>55.50762016426875</v>
      </c>
      <c r="BQ38" s="47">
        <v>59.7895413408168</v>
      </c>
      <c r="BR38" s="47">
        <v>53.374190471270666</v>
      </c>
      <c r="BS38" s="45"/>
      <c r="BT38" s="16">
        <f>+SUM(L38:W38)</f>
        <v>604.4930889673399</v>
      </c>
      <c r="BU38" s="16">
        <f>+SUM(X38:AI38)</f>
        <v>592.9968062928057</v>
      </c>
      <c r="BV38" s="37">
        <f>+SUM(AJ38:AU38)</f>
        <v>594.7779248871902</v>
      </c>
      <c r="BW38" s="47">
        <f>+SUM(AV38:BG38)</f>
        <v>621.0931446217289</v>
      </c>
      <c r="BX38" s="47">
        <f>+SUM(BH38:BR38)</f>
        <v>576.4204204248011</v>
      </c>
      <c r="BY38" s="45"/>
      <c r="BZ38" s="45"/>
      <c r="CA38" s="45"/>
      <c r="CB38" s="45"/>
      <c r="CC38" s="45"/>
      <c r="CD38" s="45"/>
      <c r="CE38" s="45"/>
      <c r="CF38" s="45"/>
      <c r="CG38" s="45"/>
      <c r="CH38" s="45"/>
      <c r="CI38" s="45"/>
      <c r="CJ38" s="45"/>
      <c r="CK38" s="45"/>
      <c r="CL38" s="45"/>
      <c r="CM38" s="45"/>
      <c r="CN38" s="45"/>
      <c r="CO38" s="45"/>
      <c r="CP38" s="45"/>
    </row>
    <row r="39" spans="1:94" s="44" customFormat="1" ht="12.75" outlineLevel="1">
      <c r="A39" s="22"/>
      <c r="B39" s="15"/>
      <c r="C39" s="47"/>
      <c r="D39" s="47"/>
      <c r="E39" s="47"/>
      <c r="F39" s="46"/>
      <c r="G39" s="35"/>
      <c r="H39" s="47"/>
      <c r="I39" s="47"/>
      <c r="J39" s="46"/>
      <c r="K39" s="2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5"/>
      <c r="BT39" s="47"/>
      <c r="BU39" s="47"/>
      <c r="BV39" s="47"/>
      <c r="BW39" s="47"/>
      <c r="BX39" s="47"/>
      <c r="BY39" s="45"/>
      <c r="BZ39" s="45"/>
      <c r="CA39" s="45"/>
      <c r="CB39" s="45"/>
      <c r="CC39" s="45"/>
      <c r="CD39" s="45"/>
      <c r="CE39" s="45"/>
      <c r="CF39" s="45"/>
      <c r="CG39" s="45"/>
      <c r="CH39" s="45"/>
      <c r="CI39" s="45"/>
      <c r="CJ39" s="45"/>
      <c r="CK39" s="45"/>
      <c r="CL39" s="45"/>
      <c r="CM39" s="45"/>
      <c r="CN39" s="45"/>
      <c r="CO39" s="45"/>
      <c r="CP39" s="45"/>
    </row>
    <row r="40" spans="1:94" ht="12.75">
      <c r="A40" s="22"/>
      <c r="B40" s="49" t="s">
        <v>37</v>
      </c>
      <c r="C40" s="47">
        <f>+BR40</f>
        <v>2676.0484747533333</v>
      </c>
      <c r="D40" s="47">
        <f>+BF40</f>
        <v>2620.743183490001</v>
      </c>
      <c r="E40" s="47">
        <f>+C40-D40</f>
        <v>55.30529126333249</v>
      </c>
      <c r="F40" s="46">
        <f>+E40/D40</f>
        <v>0.021102903791467023</v>
      </c>
      <c r="G40" s="35"/>
      <c r="H40" s="47">
        <f>+AT40</f>
        <v>2479.34335479</v>
      </c>
      <c r="I40" s="47">
        <f>+D40-H40</f>
        <v>141.39982870000085</v>
      </c>
      <c r="J40" s="46">
        <f>+(I40/H40)</f>
        <v>0.05703116045900686</v>
      </c>
      <c r="K40" s="20"/>
      <c r="L40" s="16">
        <v>2133.5088208</v>
      </c>
      <c r="M40" s="16">
        <v>1888.80533212</v>
      </c>
      <c r="N40" s="16">
        <v>2080.19456788</v>
      </c>
      <c r="O40" s="16">
        <v>2037.55908378</v>
      </c>
      <c r="P40" s="16">
        <v>2353.44326623</v>
      </c>
      <c r="Q40" s="16">
        <v>2057.79711708</v>
      </c>
      <c r="R40" s="16">
        <v>2494.79660437</v>
      </c>
      <c r="S40" s="16">
        <v>2324.82077466</v>
      </c>
      <c r="T40" s="16">
        <v>2356.1460285</v>
      </c>
      <c r="U40" s="16">
        <v>2334.11046355</v>
      </c>
      <c r="V40" s="16">
        <v>1928.71915654</v>
      </c>
      <c r="W40" s="16">
        <v>2339.26935077</v>
      </c>
      <c r="X40" s="16">
        <v>2004.51214669</v>
      </c>
      <c r="Y40" s="16">
        <v>2156.62577197</v>
      </c>
      <c r="Z40" s="16">
        <v>2178.89643522</v>
      </c>
      <c r="AA40" s="16">
        <v>1953.16259041</v>
      </c>
      <c r="AB40" s="16">
        <v>2121.52099716</v>
      </c>
      <c r="AC40" s="16">
        <v>2231.89215563</v>
      </c>
      <c r="AD40" s="16">
        <v>2449.23832576</v>
      </c>
      <c r="AE40" s="16">
        <v>2343.57654472</v>
      </c>
      <c r="AF40" s="16">
        <v>2322.61376024</v>
      </c>
      <c r="AG40" s="16">
        <v>2311.47474862</v>
      </c>
      <c r="AH40" s="16">
        <v>2336.13165319</v>
      </c>
      <c r="AI40" s="16">
        <v>2308.9133114</v>
      </c>
      <c r="AJ40" s="34">
        <v>1906.47849984</v>
      </c>
      <c r="AK40" s="34">
        <v>2090.74688935</v>
      </c>
      <c r="AL40" s="47">
        <v>2166.5675762</v>
      </c>
      <c r="AM40" s="47">
        <v>2109.5657197</v>
      </c>
      <c r="AN40" s="47">
        <v>2194.02336812</v>
      </c>
      <c r="AO40" s="47">
        <v>2058.35471548</v>
      </c>
      <c r="AP40" s="47">
        <v>2482.61733185</v>
      </c>
      <c r="AQ40" s="47">
        <v>2528.07187386</v>
      </c>
      <c r="AR40" s="47">
        <v>2447.03236807</v>
      </c>
      <c r="AS40" s="47">
        <v>2439.78021697</v>
      </c>
      <c r="AT40" s="47">
        <v>2479.34335479</v>
      </c>
      <c r="AU40" s="47">
        <v>2507.64887873</v>
      </c>
      <c r="AV40" s="47">
        <v>2023.3527525100674</v>
      </c>
      <c r="AW40" s="47">
        <v>2148.2529063400234</v>
      </c>
      <c r="AX40" s="47">
        <v>2396.5471769800006</v>
      </c>
      <c r="AY40" s="47">
        <v>2242.25426999</v>
      </c>
      <c r="AZ40" s="47">
        <v>2383.6945873800005</v>
      </c>
      <c r="BA40" s="47">
        <v>2425.15285978</v>
      </c>
      <c r="BB40" s="47">
        <v>2583.6875922100007</v>
      </c>
      <c r="BC40" s="47">
        <v>2679.4272275499998</v>
      </c>
      <c r="BD40" s="47">
        <v>2695.7189283500006</v>
      </c>
      <c r="BE40" s="47">
        <v>2772.6587839</v>
      </c>
      <c r="BF40" s="47">
        <v>2620.743183490001</v>
      </c>
      <c r="BG40" s="47">
        <v>2566.90843746</v>
      </c>
      <c r="BH40" s="47">
        <v>2127.018900290001</v>
      </c>
      <c r="BI40" s="47">
        <v>2240.5280435299996</v>
      </c>
      <c r="BJ40" s="47">
        <v>2444.8644479300006</v>
      </c>
      <c r="BK40" s="47">
        <v>2199.2568752299967</v>
      </c>
      <c r="BL40" s="47">
        <v>2575.5678077899997</v>
      </c>
      <c r="BM40" s="47">
        <v>2732.9615934200006</v>
      </c>
      <c r="BN40" s="47">
        <v>2850.46939701</v>
      </c>
      <c r="BO40" s="47">
        <v>2923.630174060001</v>
      </c>
      <c r="BP40" s="47">
        <v>2765.4340426800004</v>
      </c>
      <c r="BQ40" s="47">
        <v>2988.101907590001</v>
      </c>
      <c r="BR40" s="47">
        <v>2676.0484747533333</v>
      </c>
      <c r="BS40" s="45"/>
      <c r="BT40" s="16">
        <f>+SUM(L40:W40)</f>
        <v>26329.170566279998</v>
      </c>
      <c r="BU40" s="47">
        <f>+SUM(X40:AI40)</f>
        <v>26718.558441010002</v>
      </c>
      <c r="BV40" s="47">
        <f>+SUM(AJ40:AU40)</f>
        <v>27410.23079296</v>
      </c>
      <c r="BW40" s="47">
        <f>+SUM(AV40:BG40)</f>
        <v>29538.398705940093</v>
      </c>
      <c r="BX40" s="47">
        <f>+SUM(BH40:BR40)</f>
        <v>28523.881664283334</v>
      </c>
      <c r="BY40" s="45"/>
      <c r="BZ40" s="45"/>
      <c r="CA40" s="45"/>
      <c r="CB40" s="45"/>
      <c r="CC40" s="45"/>
      <c r="CD40" s="45"/>
      <c r="CE40" s="45"/>
      <c r="CF40" s="45"/>
      <c r="CG40" s="45"/>
      <c r="CH40" s="45"/>
      <c r="CI40" s="45"/>
      <c r="CJ40" s="45"/>
      <c r="CK40" s="45"/>
      <c r="CL40" s="45"/>
      <c r="CM40" s="45"/>
      <c r="CN40" s="45"/>
      <c r="CO40" s="45"/>
      <c r="CP40" s="45"/>
    </row>
    <row r="41" spans="1:94" s="44" customFormat="1" ht="12.75">
      <c r="A41" s="22"/>
      <c r="B41" s="49"/>
      <c r="C41" s="47"/>
      <c r="D41" s="47"/>
      <c r="E41" s="47"/>
      <c r="F41" s="46"/>
      <c r="G41" s="35"/>
      <c r="H41" s="47"/>
      <c r="I41" s="47"/>
      <c r="J41" s="46"/>
      <c r="K41" s="20"/>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5"/>
      <c r="BT41" s="47"/>
      <c r="BU41" s="47"/>
      <c r="BV41" s="47"/>
      <c r="BW41" s="47"/>
      <c r="BX41" s="47"/>
      <c r="BY41" s="45"/>
      <c r="BZ41" s="45"/>
      <c r="CA41" s="45"/>
      <c r="CB41" s="45"/>
      <c r="CC41" s="45"/>
      <c r="CD41" s="45"/>
      <c r="CE41" s="45"/>
      <c r="CF41" s="45"/>
      <c r="CG41" s="45"/>
      <c r="CH41" s="45"/>
      <c r="CI41" s="45"/>
      <c r="CJ41" s="45"/>
      <c r="CK41" s="45"/>
      <c r="CL41" s="45"/>
      <c r="CM41" s="45"/>
      <c r="CN41" s="45"/>
      <c r="CO41" s="45"/>
      <c r="CP41" s="45"/>
    </row>
    <row r="42" spans="1:94" s="44" customFormat="1" ht="12.75">
      <c r="A42" s="22"/>
      <c r="B42" s="49" t="s">
        <v>28</v>
      </c>
      <c r="C42" s="47">
        <f>+BR42</f>
        <v>2705.0156565499997</v>
      </c>
      <c r="D42" s="47">
        <f>+BF42</f>
        <v>2645.900026660001</v>
      </c>
      <c r="E42" s="47">
        <f>+C42-D42</f>
        <v>59.11562988999867</v>
      </c>
      <c r="F42" s="46">
        <f>+E42/D42</f>
        <v>0.022342352051986675</v>
      </c>
      <c r="G42" s="35"/>
      <c r="H42" s="47">
        <f>+AT42</f>
        <v>2503.0979442</v>
      </c>
      <c r="I42" s="47">
        <f>+D42-H42</f>
        <v>142.8020824600012</v>
      </c>
      <c r="J42" s="46">
        <f>+(I42/H42)</f>
        <v>0.05705013772668865</v>
      </c>
      <c r="K42" s="19"/>
      <c r="L42" s="47">
        <v>2157.1582502799997</v>
      </c>
      <c r="M42" s="47">
        <v>1910.0903886</v>
      </c>
      <c r="N42" s="47">
        <v>2107.2445598900003</v>
      </c>
      <c r="O42" s="47">
        <v>2062.11986029</v>
      </c>
      <c r="P42" s="47">
        <v>2376.87148456</v>
      </c>
      <c r="Q42" s="47">
        <v>2082.58587554</v>
      </c>
      <c r="R42" s="47">
        <v>2521.6995233100006</v>
      </c>
      <c r="S42" s="47">
        <v>2350.3693114400003</v>
      </c>
      <c r="T42" s="47">
        <v>2383.90361568</v>
      </c>
      <c r="U42" s="47">
        <v>2363.54769262</v>
      </c>
      <c r="V42" s="47">
        <v>1952.57365785</v>
      </c>
      <c r="W42" s="47">
        <v>2366.1226254000007</v>
      </c>
      <c r="X42" s="47">
        <v>2029.5161823</v>
      </c>
      <c r="Y42" s="47">
        <v>2184.96807059</v>
      </c>
      <c r="Z42" s="47">
        <v>2206.76883336</v>
      </c>
      <c r="AA42" s="47">
        <v>1978.3022756999999</v>
      </c>
      <c r="AB42" s="47">
        <v>2147.24589885</v>
      </c>
      <c r="AC42" s="47">
        <v>2255.14250175</v>
      </c>
      <c r="AD42" s="47">
        <v>2477.04703119</v>
      </c>
      <c r="AE42" s="47">
        <v>2369.38279194</v>
      </c>
      <c r="AF42" s="47">
        <v>2350.2014811599997</v>
      </c>
      <c r="AG42" s="47">
        <v>2337.21502226</v>
      </c>
      <c r="AH42" s="47">
        <v>2361.8068336500005</v>
      </c>
      <c r="AI42" s="47">
        <v>2337.82079434</v>
      </c>
      <c r="AJ42" s="47">
        <v>1929.1048225000002</v>
      </c>
      <c r="AK42" s="47">
        <v>2118.44791271</v>
      </c>
      <c r="AL42" s="47">
        <v>2194.6985352700003</v>
      </c>
      <c r="AM42" s="47">
        <v>2137.63794272</v>
      </c>
      <c r="AN42" s="47">
        <v>2222.3249769000004</v>
      </c>
      <c r="AO42" s="47">
        <v>2084.9455965999996</v>
      </c>
      <c r="AP42" s="47">
        <v>2509.4023014100003</v>
      </c>
      <c r="AQ42" s="47">
        <v>2553.59528567</v>
      </c>
      <c r="AR42" s="47">
        <v>2472.51473329</v>
      </c>
      <c r="AS42" s="47">
        <v>2464.92373421</v>
      </c>
      <c r="AT42" s="47">
        <v>2503.0979442</v>
      </c>
      <c r="AU42" s="47">
        <v>2531.99981105</v>
      </c>
      <c r="AV42" s="47">
        <v>2045.26949889</v>
      </c>
      <c r="AW42" s="47">
        <v>2173.59494908</v>
      </c>
      <c r="AX42" s="47">
        <v>2424.5902289800006</v>
      </c>
      <c r="AY42" s="47">
        <v>2266.24272316</v>
      </c>
      <c r="AZ42" s="47">
        <v>2408.7748899300004</v>
      </c>
      <c r="BA42" s="47">
        <v>2452.70697414</v>
      </c>
      <c r="BB42" s="47">
        <v>2611.5710154900007</v>
      </c>
      <c r="BC42" s="47">
        <v>2707.7152985199996</v>
      </c>
      <c r="BD42" s="47">
        <v>2722.3862699100005</v>
      </c>
      <c r="BE42" s="47">
        <v>2799.5395576299998</v>
      </c>
      <c r="BF42" s="47">
        <v>2645.900026660001</v>
      </c>
      <c r="BG42" s="47">
        <v>2592.69007293</v>
      </c>
      <c r="BH42" s="47">
        <v>2152.500915530001</v>
      </c>
      <c r="BI42" s="47">
        <v>2265.1270282699998</v>
      </c>
      <c r="BJ42" s="47">
        <v>2469.1944654200006</v>
      </c>
      <c r="BK42" s="47">
        <v>2222.3353457599997</v>
      </c>
      <c r="BL42" s="47">
        <v>2603.81132343</v>
      </c>
      <c r="BM42" s="47">
        <v>2760.3526965900005</v>
      </c>
      <c r="BN42" s="47">
        <v>2878.9789919</v>
      </c>
      <c r="BO42" s="47">
        <v>2953.059872590001</v>
      </c>
      <c r="BP42" s="47">
        <v>2793.27009011</v>
      </c>
      <c r="BQ42" s="47">
        <v>3017.7377070199996</v>
      </c>
      <c r="BR42" s="47">
        <v>2705.0156565499997</v>
      </c>
      <c r="BS42" s="45"/>
      <c r="BT42" s="47">
        <f>+SUM(L42:W42)</f>
        <v>26634.28684546</v>
      </c>
      <c r="BU42" s="47">
        <f>+SUM(X42:AI42)</f>
        <v>27035.417717089997</v>
      </c>
      <c r="BV42" s="47">
        <f>+SUM(AJ42:AU42)</f>
        <v>27722.69359653</v>
      </c>
      <c r="BW42" s="47">
        <f>+SUM(AV42:BG42)</f>
        <v>29850.981505320004</v>
      </c>
      <c r="BX42" s="47">
        <f>+SUM(BH42:BR42)</f>
        <v>28821.38409317</v>
      </c>
      <c r="BY42" s="45"/>
      <c r="BZ42" s="45"/>
      <c r="CA42" s="45"/>
      <c r="CB42" s="45"/>
      <c r="CC42" s="45"/>
      <c r="CD42" s="45"/>
      <c r="CE42" s="45"/>
      <c r="CF42" s="45"/>
      <c r="CG42" s="45"/>
      <c r="CH42" s="45"/>
      <c r="CI42" s="45"/>
      <c r="CJ42" s="45"/>
      <c r="CK42" s="45"/>
      <c r="CL42" s="45"/>
      <c r="CM42" s="45"/>
      <c r="CN42" s="45"/>
      <c r="CO42" s="45"/>
      <c r="CP42" s="45"/>
    </row>
    <row r="43" spans="1:94" s="44" customFormat="1" ht="12.75">
      <c r="A43" s="22"/>
      <c r="B43" s="15"/>
      <c r="C43" s="47"/>
      <c r="D43" s="47"/>
      <c r="E43" s="47"/>
      <c r="F43" s="46"/>
      <c r="G43" s="35"/>
      <c r="H43" s="47"/>
      <c r="I43" s="47"/>
      <c r="J43" s="46"/>
      <c r="K43" s="2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45"/>
      <c r="BT43" s="47"/>
      <c r="BU43" s="47"/>
      <c r="BV43" s="47"/>
      <c r="BW43" s="47"/>
      <c r="BX43" s="47"/>
      <c r="BY43" s="45"/>
      <c r="BZ43" s="45"/>
      <c r="CA43" s="45"/>
      <c r="CB43" s="45"/>
      <c r="CC43" s="45"/>
      <c r="CD43" s="45"/>
      <c r="CE43" s="45"/>
      <c r="CF43" s="45"/>
      <c r="CG43" s="45"/>
      <c r="CH43" s="45"/>
      <c r="CI43" s="45"/>
      <c r="CJ43" s="45"/>
      <c r="CK43" s="45"/>
      <c r="CL43" s="45"/>
      <c r="CM43" s="45"/>
      <c r="CN43" s="45"/>
      <c r="CO43" s="45"/>
      <c r="CP43" s="45"/>
    </row>
    <row r="44" spans="1:94" ht="12.75">
      <c r="A44" s="22"/>
      <c r="B44" s="49" t="s">
        <v>17</v>
      </c>
      <c r="C44" s="47">
        <f>+BR44</f>
        <v>12.172374718171767</v>
      </c>
      <c r="D44" s="47">
        <f>+BF44</f>
        <v>5.2793308976001185</v>
      </c>
      <c r="E44" s="47">
        <f>+C44-D44</f>
        <v>6.893043820571648</v>
      </c>
      <c r="F44" s="46">
        <f>+E44/D44</f>
        <v>1.3056661827552982</v>
      </c>
      <c r="G44" s="35"/>
      <c r="H44" s="47">
        <f>+AT44</f>
        <v>-1.150965755891533</v>
      </c>
      <c r="I44" s="47">
        <f>+D44-H44</f>
        <v>6.430296653491651</v>
      </c>
      <c r="J44" s="46">
        <f>+(I44/H44)</f>
        <v>-5.586870522060643</v>
      </c>
      <c r="K44" s="20"/>
      <c r="L44" s="47">
        <v>8.49429569416093</v>
      </c>
      <c r="M44" s="47">
        <v>9.148563153765531</v>
      </c>
      <c r="N44" s="47">
        <v>7.764976782498566</v>
      </c>
      <c r="O44" s="47">
        <v>9.309333077625503</v>
      </c>
      <c r="P44" s="47">
        <v>9.623853393603673</v>
      </c>
      <c r="Q44" s="47">
        <v>10.022473849503482</v>
      </c>
      <c r="R44" s="47">
        <v>10.764386317397667</v>
      </c>
      <c r="S44" s="47">
        <v>11.21749604046823</v>
      </c>
      <c r="T44" s="47">
        <v>10.263006456216802</v>
      </c>
      <c r="U44" s="47">
        <v>9.689378703674848</v>
      </c>
      <c r="V44" s="47">
        <v>9.399257151222917</v>
      </c>
      <c r="W44" s="47">
        <v>6.510533003300418</v>
      </c>
      <c r="X44" s="47">
        <v>4.46341452108457</v>
      </c>
      <c r="Y44" s="47">
        <v>1.5146557927345108</v>
      </c>
      <c r="Z44" s="47">
        <v>-0.9215641774831336</v>
      </c>
      <c r="AA44" s="47">
        <v>0.8868179860215857</v>
      </c>
      <c r="AB44" s="47">
        <v>0.41595000728022197</v>
      </c>
      <c r="AC44" s="47">
        <v>0.9661708889050422</v>
      </c>
      <c r="AD44" s="47">
        <v>1.193448957048311</v>
      </c>
      <c r="AE44" s="47">
        <v>1.2859368789510985</v>
      </c>
      <c r="AF44" s="47">
        <v>-0.3075644455479724</v>
      </c>
      <c r="AG44" s="47">
        <v>-2.7107723550545386</v>
      </c>
      <c r="AH44" s="47">
        <v>-3.049870727401041</v>
      </c>
      <c r="AI44" s="47">
        <v>-2.1096986349754006</v>
      </c>
      <c r="AJ44" s="47">
        <v>-2.712254179830875</v>
      </c>
      <c r="AK44" s="47">
        <v>-5.312932908104858</v>
      </c>
      <c r="AL44" s="47">
        <v>-5.947573886116344</v>
      </c>
      <c r="AM44" s="47">
        <v>-5.63326472788809</v>
      </c>
      <c r="AN44" s="47">
        <v>-5.057185148141101</v>
      </c>
      <c r="AO44" s="47">
        <v>-4.855972561766212</v>
      </c>
      <c r="AP44" s="47">
        <v>-3.6434714934357806</v>
      </c>
      <c r="AQ44" s="47">
        <v>-2.5838572152188943</v>
      </c>
      <c r="AR44" s="47">
        <v>-2.6122424101483723</v>
      </c>
      <c r="AS44" s="47">
        <v>-2.2198619492998226</v>
      </c>
      <c r="AT44" s="47">
        <v>-1.150965755891533</v>
      </c>
      <c r="AU44" s="47">
        <v>0.20278072043467577</v>
      </c>
      <c r="AV44" s="47">
        <v>0.8188049632213142</v>
      </c>
      <c r="AW44" s="47">
        <f>168.566046209714/AW82</f>
        <v>3.5767326821289447</v>
      </c>
      <c r="AX44" s="47">
        <f>185.527974108368/AX82</f>
        <v>3.920941520385145</v>
      </c>
      <c r="AY44" s="47">
        <f>214.717914765553/AY82</f>
        <v>4.53028549667689</v>
      </c>
      <c r="AZ44" s="47">
        <f>155.251183790628/AZ82</f>
        <v>3.272565962846447</v>
      </c>
      <c r="BA44" s="47">
        <f>174.95926494252/BA82</f>
        <v>3.68299627704517</v>
      </c>
      <c r="BB44" s="47">
        <f>192.276336080185/BB82</f>
        <v>4.044729657221877</v>
      </c>
      <c r="BC44" s="47">
        <f>160.791326266697/BC82</f>
        <v>3.379303399372589</v>
      </c>
      <c r="BD44" s="47">
        <f>194.903330211388/BD82</f>
        <v>4.0842598419003115</v>
      </c>
      <c r="BE44" s="47">
        <f>225.965038085316/BE82</f>
        <v>4.724198708072856</v>
      </c>
      <c r="BF44" s="47">
        <f>253.268106514374/BF82</f>
        <v>5.2793308976001185</v>
      </c>
      <c r="BG44" s="47">
        <f>267.624051439771/BG82</f>
        <v>5.552496385076476</v>
      </c>
      <c r="BH44" s="47">
        <f>365.995786480246/BH82</f>
        <v>7.5580393163044075</v>
      </c>
      <c r="BI44" s="47">
        <f>372.783630174204/BI82</f>
        <v>7.6332682219356345</v>
      </c>
      <c r="BJ44" s="47">
        <f>378.712143802953/BJ82</f>
        <v>7.696945380182682</v>
      </c>
      <c r="BK44" s="47">
        <f>436.663690487779/BK82</f>
        <v>8.842800739717724</v>
      </c>
      <c r="BL44" s="47">
        <f>446.285568008594/BL82</f>
        <v>9.033791643393439</v>
      </c>
      <c r="BM44" s="47">
        <f>505.152889137376/BM82</f>
        <v>10.22243538315197</v>
      </c>
      <c r="BN44" s="47">
        <f>616.898512814176/BN82</f>
        <v>12.441458306476795</v>
      </c>
      <c r="BO44" s="47">
        <f>644.321874272993/BO82</f>
        <v>12.957027370574751</v>
      </c>
      <c r="BP44" s="47">
        <f>679.098250282563/BP82</f>
        <v>13.63081785685021</v>
      </c>
      <c r="BQ44" s="47">
        <f>610.292437432337/BQ82</f>
        <v>12.211466023017328</v>
      </c>
      <c r="BR44" s="47">
        <f>610.292437432337/BR82</f>
        <v>12.172374718171767</v>
      </c>
      <c r="BS44" s="77"/>
      <c r="BT44" s="16">
        <f>+SUM(L44:W44)</f>
        <v>112.20755362343857</v>
      </c>
      <c r="BU44" s="16">
        <f>+SUM(X44:AI44)</f>
        <v>1.6269246915632531</v>
      </c>
      <c r="BV44" s="37">
        <f>+SUM(AJ44:AU44)</f>
        <v>-41.526801515407215</v>
      </c>
      <c r="BW44" s="47">
        <f>+SUM(AV44:BG44)</f>
        <v>46.86664579154814</v>
      </c>
      <c r="BX44" s="47">
        <f>+SUM(BH44:BR44)</f>
        <v>114.40042495977671</v>
      </c>
      <c r="BY44" s="45"/>
      <c r="BZ44" s="45"/>
      <c r="CA44" s="45"/>
      <c r="CB44" s="45"/>
      <c r="CC44" s="45"/>
      <c r="CD44" s="45"/>
      <c r="CE44" s="45"/>
      <c r="CF44" s="45"/>
      <c r="CG44" s="45"/>
      <c r="CH44" s="45"/>
      <c r="CI44" s="45"/>
      <c r="CJ44" s="45"/>
      <c r="CK44" s="45"/>
      <c r="CL44" s="45"/>
      <c r="CM44" s="45"/>
      <c r="CN44" s="45"/>
      <c r="CO44" s="45"/>
      <c r="CP44" s="45"/>
    </row>
    <row r="45" spans="1:94" s="44" customFormat="1" ht="12.75" outlineLevel="1">
      <c r="A45" s="22"/>
      <c r="B45" s="15"/>
      <c r="C45" s="47"/>
      <c r="D45" s="47"/>
      <c r="E45" s="47"/>
      <c r="F45" s="46"/>
      <c r="G45" s="35"/>
      <c r="H45" s="47"/>
      <c r="I45" s="47"/>
      <c r="J45" s="46"/>
      <c r="K45" s="2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45"/>
      <c r="BT45" s="47"/>
      <c r="BU45" s="47"/>
      <c r="BV45" s="47"/>
      <c r="BW45" s="47"/>
      <c r="BX45" s="47"/>
      <c r="BY45" s="45"/>
      <c r="BZ45" s="45"/>
      <c r="CA45" s="45"/>
      <c r="CB45" s="45"/>
      <c r="CC45" s="45"/>
      <c r="CD45" s="45"/>
      <c r="CE45" s="45"/>
      <c r="CF45" s="45"/>
      <c r="CG45" s="45"/>
      <c r="CH45" s="45"/>
      <c r="CI45" s="45"/>
      <c r="CJ45" s="45"/>
      <c r="CK45" s="45"/>
      <c r="CL45" s="45"/>
      <c r="CM45" s="45"/>
      <c r="CN45" s="45"/>
      <c r="CO45" s="45"/>
      <c r="CP45" s="45"/>
    </row>
    <row r="46" spans="1:94" ht="12.75">
      <c r="A46" s="22"/>
      <c r="B46" s="49" t="s">
        <v>18</v>
      </c>
      <c r="C46" s="47">
        <f>+BR46</f>
        <v>0.5910904897531568</v>
      </c>
      <c r="D46" s="47">
        <f>+BF46</f>
        <v>0.524390146320788</v>
      </c>
      <c r="E46" s="47">
        <f>+C46-D46</f>
        <v>0.06670034343236886</v>
      </c>
      <c r="F46" s="46">
        <f>+E46/D46</f>
        <v>0.12719602742414216</v>
      </c>
      <c r="G46" s="35"/>
      <c r="H46" s="47">
        <f>+AT46</f>
        <v>0.5098722112158799</v>
      </c>
      <c r="I46" s="47">
        <f>+D46-H46</f>
        <v>0.014517935104908064</v>
      </c>
      <c r="J46" s="46">
        <f>+(I46/H46)</f>
        <v>0.02847367396290827</v>
      </c>
      <c r="K46" s="20"/>
      <c r="L46" s="47">
        <v>0.5503809584539622</v>
      </c>
      <c r="M46" s="47">
        <v>0.4929184464715378</v>
      </c>
      <c r="N46" s="47">
        <v>0.6258833984668744</v>
      </c>
      <c r="O46" s="47">
        <v>0.5684891191937709</v>
      </c>
      <c r="P46" s="47">
        <v>0.5412760984604859</v>
      </c>
      <c r="Q46" s="47">
        <v>0.5701042167746446</v>
      </c>
      <c r="R46" s="47">
        <v>0.6173948520822771</v>
      </c>
      <c r="S46" s="47">
        <v>0.5859541113170159</v>
      </c>
      <c r="T46" s="47">
        <v>0.6342392659306679</v>
      </c>
      <c r="U46" s="47">
        <v>0.6704221066536091</v>
      </c>
      <c r="V46" s="47">
        <v>0.5403376259983602</v>
      </c>
      <c r="W46" s="47">
        <v>0.6067065212638203</v>
      </c>
      <c r="X46" s="47">
        <v>0.5605290353009045</v>
      </c>
      <c r="Y46" s="47">
        <v>0.6314889725656564</v>
      </c>
      <c r="Z46" s="47">
        <v>0.6228134835226714</v>
      </c>
      <c r="AA46" s="47">
        <v>0.5611897182706023</v>
      </c>
      <c r="AB46" s="47">
        <v>0.5733834217892557</v>
      </c>
      <c r="AC46" s="47">
        <v>0.5176532981260107</v>
      </c>
      <c r="AD46" s="47">
        <v>0.6171415192907315</v>
      </c>
      <c r="AE46" s="47">
        <v>0.5716517671503857</v>
      </c>
      <c r="AF46" s="47">
        <v>0.6099672531739054</v>
      </c>
      <c r="AG46" s="47">
        <v>0.5677930564103247</v>
      </c>
      <c r="AH46" s="47">
        <v>0.5651181063228946</v>
      </c>
      <c r="AI46" s="47">
        <v>0.6349427478216562</v>
      </c>
      <c r="AJ46" s="47">
        <v>0.4960237696041248</v>
      </c>
      <c r="AK46" s="47">
        <v>0.6052989751814747</v>
      </c>
      <c r="AL46" s="47">
        <v>0.6140870447986673</v>
      </c>
      <c r="AM46" s="47">
        <v>0.612215491074836</v>
      </c>
      <c r="AN46" s="47">
        <v>0.6165793507766717</v>
      </c>
      <c r="AO46" s="47">
        <v>0.5786396717358852</v>
      </c>
      <c r="AP46" s="47">
        <v>0.5823515759492964</v>
      </c>
      <c r="AQ46" s="47">
        <v>0.554783209400494</v>
      </c>
      <c r="AR46" s="47">
        <v>0.5518697556665353</v>
      </c>
      <c r="AS46" s="47">
        <v>0.5414532182242213</v>
      </c>
      <c r="AT46" s="47">
        <v>0.5098722112158799</v>
      </c>
      <c r="AU46" s="47">
        <v>0.5217225896160831</v>
      </c>
      <c r="AV46" s="47">
        <v>0.46847872252195233</v>
      </c>
      <c r="AW46" s="47">
        <v>0.5377222432286197</v>
      </c>
      <c r="AX46" s="47">
        <v>0.592660842568876</v>
      </c>
      <c r="AY46" s="47">
        <f>23.98845317/AY82</f>
        <v>0.5061270346371598</v>
      </c>
      <c r="AZ46" s="47">
        <f>25.08030255/AZ82</f>
        <v>0.5286719396208279</v>
      </c>
      <c r="BA46" s="47">
        <f>27.55411436/BA82</f>
        <v>0.5800304467356845</v>
      </c>
      <c r="BB46" s="47">
        <f>27.88342328/BB82</f>
        <v>0.5865563666579016</v>
      </c>
      <c r="BC46" s="47">
        <f>28.28807097/BC82</f>
        <v>0.5945219596737253</v>
      </c>
      <c r="BD46" s="47">
        <f>26.66734156/BD82</f>
        <v>0.5588224280499408</v>
      </c>
      <c r="BE46" s="47">
        <f>26.88077373/BE82</f>
        <v>0.5619901096350932</v>
      </c>
      <c r="BF46" s="47">
        <f>25.15684317/BF82</f>
        <v>0.524390146320788</v>
      </c>
      <c r="BG46" s="47">
        <f>25.78163547/BG82</f>
        <v>0.5349012429129563</v>
      </c>
      <c r="BH46" s="47">
        <f>25.48201524/BH82</f>
        <v>0.526219372345105</v>
      </c>
      <c r="BI46" s="47">
        <f>24.59898474/BI82</f>
        <v>0.5036987499155348</v>
      </c>
      <c r="BJ46" s="47">
        <f>24.33001749/BJ82</f>
        <v>0.49448326066051845</v>
      </c>
      <c r="BK46" s="47">
        <f>23.0784705300029/BK82</f>
        <v>0.46735810812732304</v>
      </c>
      <c r="BL46" s="47">
        <f>28.24351564/BL82</f>
        <v>0.5717102542822325</v>
      </c>
      <c r="BM46" s="47">
        <f>27.39110317/BM82</f>
        <v>0.554295121832763</v>
      </c>
      <c r="BN46" s="47">
        <f>28.50959489/BN82</f>
        <v>0.5749745359903679</v>
      </c>
      <c r="BO46" s="47">
        <f>29.42969853/BO82</f>
        <v>0.59181819613253</v>
      </c>
      <c r="BP46" s="47">
        <f>27.83604743/BP82</f>
        <v>0.558723413313315</v>
      </c>
      <c r="BQ46" s="47">
        <f>29.6357994299989/BQ82</f>
        <v>0.5929887634311564</v>
      </c>
      <c r="BR46" s="47">
        <f>29.6357994299989/BR82</f>
        <v>0.5910904897531568</v>
      </c>
      <c r="BS46" s="45"/>
      <c r="BT46" s="16">
        <f>+SUM(L46:W46)</f>
        <v>7.004106721067026</v>
      </c>
      <c r="BU46" s="16">
        <f>+SUM(X46:AI46)</f>
        <v>7.033672379744998</v>
      </c>
      <c r="BV46" s="37">
        <f>+SUM(AJ46:AU46)</f>
        <v>6.784896863244171</v>
      </c>
      <c r="BW46" s="47">
        <f>+SUM(AV46:BG46)</f>
        <v>6.574873482563525</v>
      </c>
      <c r="BX46" s="47">
        <f>+SUM(BH46:BR46)</f>
        <v>6.027360265784003</v>
      </c>
      <c r="BY46" s="45"/>
      <c r="BZ46" s="45"/>
      <c r="CA46" s="45"/>
      <c r="CB46" s="45"/>
      <c r="CC46" s="45"/>
      <c r="CD46" s="45"/>
      <c r="CE46" s="45"/>
      <c r="CF46" s="45"/>
      <c r="CG46" s="45"/>
      <c r="CH46" s="45"/>
      <c r="CI46" s="45"/>
      <c r="CJ46" s="45"/>
      <c r="CK46" s="45"/>
      <c r="CL46" s="45"/>
      <c r="CM46" s="45"/>
      <c r="CN46" s="45"/>
      <c r="CO46" s="45"/>
      <c r="CP46" s="45"/>
    </row>
    <row r="47" spans="1:94" s="44" customFormat="1" ht="12.75" outlineLevel="1">
      <c r="A47" s="22"/>
      <c r="B47" s="15"/>
      <c r="C47" s="47"/>
      <c r="D47" s="47"/>
      <c r="E47" s="47"/>
      <c r="F47" s="46"/>
      <c r="G47" s="35"/>
      <c r="H47" s="47"/>
      <c r="I47" s="47"/>
      <c r="J47" s="46"/>
      <c r="K47" s="2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5"/>
      <c r="BT47" s="47"/>
      <c r="BU47" s="47"/>
      <c r="BV47" s="47"/>
      <c r="BW47" s="47"/>
      <c r="BX47" s="47"/>
      <c r="BY47" s="45"/>
      <c r="BZ47" s="45"/>
      <c r="CA47" s="45"/>
      <c r="CB47" s="45"/>
      <c r="CC47" s="45"/>
      <c r="CD47" s="45"/>
      <c r="CE47" s="45"/>
      <c r="CF47" s="45"/>
      <c r="CG47" s="45"/>
      <c r="CH47" s="45"/>
      <c r="CI47" s="45"/>
      <c r="CJ47" s="45"/>
      <c r="CK47" s="45"/>
      <c r="CL47" s="45"/>
      <c r="CM47" s="45"/>
      <c r="CN47" s="45"/>
      <c r="CO47" s="45"/>
      <c r="CP47" s="45"/>
    </row>
    <row r="48" spans="1:94" ht="12.75">
      <c r="A48" s="68"/>
      <c r="B48" s="49" t="s">
        <v>19</v>
      </c>
      <c r="C48" s="47">
        <f>+BR48</f>
        <v>81.502295</v>
      </c>
      <c r="D48" s="47">
        <f>+BF48</f>
        <v>85.19395441482362</v>
      </c>
      <c r="E48" s="47">
        <f>+C48-D48</f>
        <v>-3.6916594148236186</v>
      </c>
      <c r="F48" s="46">
        <f>+E48/D48</f>
        <v>-0.043332410617404976</v>
      </c>
      <c r="G48" s="35"/>
      <c r="H48" s="47">
        <f>+AT48</f>
        <v>93.57095831715537</v>
      </c>
      <c r="I48" s="47">
        <f>+D48-H48</f>
        <v>-8.37700390233175</v>
      </c>
      <c r="J48" s="46">
        <f>+(I48/H48)</f>
        <v>-0.08952568246590144</v>
      </c>
      <c r="L48" s="47">
        <f>+L8-L26</f>
        <v>101.24440803000044</v>
      </c>
      <c r="M48" s="47">
        <f>+M8-M26</f>
        <v>118.60746432999943</v>
      </c>
      <c r="N48" s="47">
        <f>+N8-N26</f>
        <v>114.97891895094023</v>
      </c>
      <c r="O48" s="47">
        <f>+O8-O26</f>
        <v>99.57792635529074</v>
      </c>
      <c r="P48" s="47">
        <f aca="true" t="shared" si="16" ref="P48:BA48">+P8-P26</f>
        <v>121.09826725136236</v>
      </c>
      <c r="Q48" s="47">
        <f t="shared" si="16"/>
        <v>107.06589938938748</v>
      </c>
      <c r="R48" s="47">
        <f t="shared" si="16"/>
        <v>113.56967360623639</v>
      </c>
      <c r="S48" s="47">
        <f t="shared" si="16"/>
        <v>105.29816950096802</v>
      </c>
      <c r="T48" s="47">
        <f t="shared" si="16"/>
        <v>101.72776664069482</v>
      </c>
      <c r="U48" s="47">
        <f t="shared" si="16"/>
        <v>127.61140008369478</v>
      </c>
      <c r="V48" s="47">
        <f t="shared" si="16"/>
        <v>84.84821463879041</v>
      </c>
      <c r="W48" s="47">
        <f t="shared" si="16"/>
        <v>100.99432390170591</v>
      </c>
      <c r="X48" s="47">
        <f t="shared" si="16"/>
        <v>105.91633227133823</v>
      </c>
      <c r="Y48" s="47">
        <f t="shared" si="16"/>
        <v>80.18619144085937</v>
      </c>
      <c r="Z48" s="47">
        <f t="shared" si="16"/>
        <v>120.21822022907054</v>
      </c>
      <c r="AA48" s="47">
        <f t="shared" si="16"/>
        <v>106.32172391073419</v>
      </c>
      <c r="AB48" s="47">
        <f t="shared" si="16"/>
        <v>114.8066324617659</v>
      </c>
      <c r="AC48" s="47">
        <f t="shared" si="16"/>
        <v>120.64983165780382</v>
      </c>
      <c r="AD48" s="47">
        <f t="shared" si="16"/>
        <v>125.82825041639268</v>
      </c>
      <c r="AE48" s="47">
        <f t="shared" si="16"/>
        <v>118.67095925455772</v>
      </c>
      <c r="AF48" s="47">
        <f t="shared" si="16"/>
        <v>110.18651943926733</v>
      </c>
      <c r="AG48" s="47">
        <f t="shared" si="16"/>
        <v>123.15980486353283</v>
      </c>
      <c r="AH48" s="47">
        <f t="shared" si="16"/>
        <v>80.24462146834134</v>
      </c>
      <c r="AI48" s="47">
        <f t="shared" si="16"/>
        <v>111.13472822370915</v>
      </c>
      <c r="AJ48" s="47">
        <f t="shared" si="16"/>
        <v>109.41868553791659</v>
      </c>
      <c r="AK48" s="47">
        <f t="shared" si="16"/>
        <v>94.45426461053057</v>
      </c>
      <c r="AL48" s="47">
        <f t="shared" si="16"/>
        <v>121.55617358947586</v>
      </c>
      <c r="AM48" s="47">
        <f t="shared" si="16"/>
        <v>111.04855878700005</v>
      </c>
      <c r="AN48" s="47">
        <f t="shared" si="16"/>
        <v>148.01973098151598</v>
      </c>
      <c r="AO48" s="47">
        <f t="shared" si="16"/>
        <v>125.19228330944304</v>
      </c>
      <c r="AP48" s="47">
        <f t="shared" si="16"/>
        <v>133.56208128809544</v>
      </c>
      <c r="AQ48" s="47">
        <f t="shared" si="16"/>
        <v>126.98721433943808</v>
      </c>
      <c r="AR48" s="47">
        <f t="shared" si="16"/>
        <v>123.45624292078935</v>
      </c>
      <c r="AS48" s="47">
        <f t="shared" si="16"/>
        <v>118.93393110979957</v>
      </c>
      <c r="AT48" s="47">
        <f t="shared" si="16"/>
        <v>93.57095831715537</v>
      </c>
      <c r="AU48" s="47">
        <f t="shared" si="16"/>
        <v>118.36486492678665</v>
      </c>
      <c r="AV48" s="47">
        <f t="shared" si="16"/>
        <v>91.59328388493032</v>
      </c>
      <c r="AW48" s="47">
        <f t="shared" si="16"/>
        <v>85.38874561056531</v>
      </c>
      <c r="AX48" s="47">
        <f t="shared" si="16"/>
        <v>117.43035117748718</v>
      </c>
      <c r="AY48" s="47">
        <f t="shared" si="16"/>
        <v>91.43252177775702</v>
      </c>
      <c r="AZ48" s="47">
        <f t="shared" si="16"/>
        <v>139.21248631835505</v>
      </c>
      <c r="BA48" s="47">
        <f t="shared" si="16"/>
        <v>118.44776898215639</v>
      </c>
      <c r="BB48" s="47">
        <f aca="true" t="shared" si="17" ref="BB48:BG48">+BB8-BB26</f>
        <v>133.63872016418196</v>
      </c>
      <c r="BC48" s="47">
        <f t="shared" si="17"/>
        <v>139.38252746478423</v>
      </c>
      <c r="BD48" s="47">
        <f t="shared" si="17"/>
        <v>108.39337849362028</v>
      </c>
      <c r="BE48" s="47">
        <f t="shared" si="17"/>
        <v>122.6177806907508</v>
      </c>
      <c r="BF48" s="47">
        <f t="shared" si="17"/>
        <v>85.19395441482362</v>
      </c>
      <c r="BG48" s="47">
        <f t="shared" si="17"/>
        <v>95.08754640882444</v>
      </c>
      <c r="BH48" s="47">
        <f aca="true" t="shared" si="18" ref="BH48:BN48">+BH8-BH26</f>
        <v>101.64486457204606</v>
      </c>
      <c r="BI48" s="47">
        <f t="shared" si="18"/>
        <v>62.28092859259618</v>
      </c>
      <c r="BJ48" s="47">
        <f t="shared" si="18"/>
        <v>138.83775721533317</v>
      </c>
      <c r="BK48" s="47">
        <f t="shared" si="18"/>
        <v>105.011504395786</v>
      </c>
      <c r="BL48" s="47">
        <f t="shared" si="18"/>
        <v>111.98866680682733</v>
      </c>
      <c r="BM48" s="47">
        <f t="shared" si="18"/>
        <v>107.42149493896221</v>
      </c>
      <c r="BN48" s="47">
        <f t="shared" si="18"/>
        <v>115.32477599999999</v>
      </c>
      <c r="BO48" s="47">
        <f>+BO8-BO26</f>
        <v>108.44346699999977</v>
      </c>
      <c r="BP48" s="47">
        <f>+BP8-BP26</f>
        <v>82.16009699999995</v>
      </c>
      <c r="BQ48" s="47">
        <f>+BQ8-BQ26</f>
        <v>107.25651399999998</v>
      </c>
      <c r="BR48" s="47">
        <f>+BR8-BR26</f>
        <v>81.502295</v>
      </c>
      <c r="BS48" s="45"/>
      <c r="BT48" s="16">
        <f>+SUM(L48:W48)</f>
        <v>1296.622432679071</v>
      </c>
      <c r="BU48" s="16">
        <f>+SUM(X48:AI48)</f>
        <v>1317.323815637373</v>
      </c>
      <c r="BV48" s="37">
        <f>+SUM(AJ48:AU48)</f>
        <v>1424.5649897179467</v>
      </c>
      <c r="BW48" s="47">
        <f>+SUM(AV48:BG48)</f>
        <v>1327.8190653882366</v>
      </c>
      <c r="BX48" s="47">
        <f>+SUM(BH48:BR48)</f>
        <v>1121.8723655215506</v>
      </c>
      <c r="BY48" s="45"/>
      <c r="BZ48" s="45"/>
      <c r="CA48" s="45"/>
      <c r="CB48" s="45"/>
      <c r="CC48" s="45"/>
      <c r="CD48" s="45"/>
      <c r="CE48" s="45"/>
      <c r="CF48" s="45"/>
      <c r="CG48" s="45"/>
      <c r="CH48" s="45"/>
      <c r="CI48" s="45"/>
      <c r="CJ48" s="45"/>
      <c r="CK48" s="45"/>
      <c r="CL48" s="45"/>
      <c r="CM48" s="45"/>
      <c r="CN48" s="45"/>
      <c r="CO48" s="45"/>
      <c r="CP48" s="45"/>
    </row>
    <row r="49" spans="1:94" s="44" customFormat="1" ht="12.75" outlineLevel="1">
      <c r="A49" s="68"/>
      <c r="B49" s="15"/>
      <c r="C49" s="47"/>
      <c r="D49" s="47"/>
      <c r="E49" s="47"/>
      <c r="F49" s="46"/>
      <c r="G49" s="35"/>
      <c r="H49" s="47"/>
      <c r="I49" s="47"/>
      <c r="J49" s="46"/>
      <c r="K49" s="1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5"/>
      <c r="BT49" s="47"/>
      <c r="BU49" s="47"/>
      <c r="BV49" s="47"/>
      <c r="BW49" s="47"/>
      <c r="BX49" s="47"/>
      <c r="BY49" s="45"/>
      <c r="BZ49" s="45"/>
      <c r="CA49" s="45"/>
      <c r="CB49" s="45"/>
      <c r="CC49" s="45"/>
      <c r="CD49" s="45"/>
      <c r="CE49" s="45"/>
      <c r="CF49" s="45"/>
      <c r="CG49" s="45"/>
      <c r="CH49" s="45"/>
      <c r="CI49" s="45"/>
      <c r="CJ49" s="45"/>
      <c r="CK49" s="45"/>
      <c r="CL49" s="45"/>
      <c r="CM49" s="45"/>
      <c r="CN49" s="45"/>
      <c r="CO49" s="45"/>
      <c r="CP49" s="45"/>
    </row>
    <row r="50" spans="1:94" ht="12.75">
      <c r="A50" s="68"/>
      <c r="B50" s="49" t="s">
        <v>20</v>
      </c>
      <c r="C50" s="31">
        <f>+C48/C8</f>
        <v>0.19260008080940988</v>
      </c>
      <c r="D50" s="31">
        <f>+D48/D8</f>
        <v>0.20805612363592932</v>
      </c>
      <c r="E50" s="35">
        <f>+C50-D50</f>
        <v>-0.01545604282651944</v>
      </c>
      <c r="F50" s="31">
        <f>+E50/D50</f>
        <v>-0.07428785347152515</v>
      </c>
      <c r="G50" s="30"/>
      <c r="H50" s="31">
        <f>+H48/H8</f>
        <v>0.2331972009534546</v>
      </c>
      <c r="I50" s="32">
        <f>+D50-H50</f>
        <v>-0.025141077317525268</v>
      </c>
      <c r="J50" s="31">
        <f>+(I50/H50)</f>
        <v>-0.10781037342958223</v>
      </c>
      <c r="L50" s="46">
        <f>+L48/L8</f>
        <v>0.284863760008754</v>
      </c>
      <c r="M50" s="46">
        <f>+M48/M8</f>
        <v>0.36366941413572895</v>
      </c>
      <c r="N50" s="46">
        <f>+N48/N8</f>
        <v>0.3079902295570967</v>
      </c>
      <c r="O50" s="46">
        <f>+O48/O8</f>
        <v>0.2690058284649652</v>
      </c>
      <c r="P50" s="46">
        <f aca="true" t="shared" si="19" ref="P50:BA50">+P48/P8</f>
        <v>0.3133227386108525</v>
      </c>
      <c r="Q50" s="46">
        <f t="shared" si="19"/>
        <v>0.2735963862603522</v>
      </c>
      <c r="R50" s="46">
        <f t="shared" si="19"/>
        <v>0.2822247089413364</v>
      </c>
      <c r="S50" s="46">
        <f t="shared" si="19"/>
        <v>0.26891822788563735</v>
      </c>
      <c r="T50" s="46">
        <f t="shared" si="19"/>
        <v>0.2695861927984459</v>
      </c>
      <c r="U50" s="46">
        <f t="shared" si="19"/>
        <v>0.3144847497883647</v>
      </c>
      <c r="V50" s="46">
        <f t="shared" si="19"/>
        <v>0.2306348697515048</v>
      </c>
      <c r="W50" s="46">
        <f t="shared" si="19"/>
        <v>0.27543784957779976</v>
      </c>
      <c r="X50" s="46">
        <f t="shared" si="19"/>
        <v>0.2959499340852517</v>
      </c>
      <c r="Y50" s="46">
        <f t="shared" si="19"/>
        <v>0.2420800144545332</v>
      </c>
      <c r="Z50" s="46">
        <f t="shared" si="19"/>
        <v>0.3198450749784637</v>
      </c>
      <c r="AA50" s="46">
        <f t="shared" si="19"/>
        <v>0.28626310144361095</v>
      </c>
      <c r="AB50" s="46">
        <f t="shared" si="19"/>
        <v>0.29218484050558613</v>
      </c>
      <c r="AC50" s="46">
        <f t="shared" si="19"/>
        <v>0.29881581458157236</v>
      </c>
      <c r="AD50" s="46">
        <f t="shared" si="19"/>
        <v>0.29707804228209944</v>
      </c>
      <c r="AE50" s="46">
        <f t="shared" si="19"/>
        <v>0.281100998507117</v>
      </c>
      <c r="AF50" s="46">
        <f t="shared" si="19"/>
        <v>0.2661691342163405</v>
      </c>
      <c r="AG50" s="46">
        <f t="shared" si="19"/>
        <v>0.28639149854422935</v>
      </c>
      <c r="AH50" s="46">
        <f t="shared" si="19"/>
        <v>0.21169553189784357</v>
      </c>
      <c r="AI50" s="46">
        <f t="shared" si="19"/>
        <v>0.28545969909448116</v>
      </c>
      <c r="AJ50" s="46">
        <f t="shared" si="19"/>
        <v>0.29013293209546265</v>
      </c>
      <c r="AK50" s="46">
        <f t="shared" si="19"/>
        <v>0.2578643413473757</v>
      </c>
      <c r="AL50" s="46">
        <f t="shared" si="19"/>
        <v>0.30658904485768956</v>
      </c>
      <c r="AM50" s="46">
        <f t="shared" si="19"/>
        <v>0.27795809053015286</v>
      </c>
      <c r="AN50" s="46">
        <f t="shared" si="19"/>
        <v>0.3371121459584899</v>
      </c>
      <c r="AO50" s="46">
        <f t="shared" si="19"/>
        <v>0.29055107856663315</v>
      </c>
      <c r="AP50" s="46">
        <f t="shared" si="19"/>
        <v>0.3014821172611091</v>
      </c>
      <c r="AQ50" s="46">
        <f t="shared" si="19"/>
        <v>0.2883827748538384</v>
      </c>
      <c r="AR50" s="46">
        <f t="shared" si="19"/>
        <v>0.28035058538124386</v>
      </c>
      <c r="AS50" s="46">
        <f t="shared" si="19"/>
        <v>0.2742004323409591</v>
      </c>
      <c r="AT50" s="46">
        <f t="shared" si="19"/>
        <v>0.2331972009534546</v>
      </c>
      <c r="AU50" s="46">
        <f t="shared" si="19"/>
        <v>0.2908380219202062</v>
      </c>
      <c r="AV50" s="46">
        <f t="shared" si="19"/>
        <v>0.24564740134856605</v>
      </c>
      <c r="AW50" s="46">
        <f t="shared" si="19"/>
        <v>0.24115646825669018</v>
      </c>
      <c r="AX50" s="46">
        <f t="shared" si="19"/>
        <v>0.29462380681746925</v>
      </c>
      <c r="AY50" s="46">
        <f t="shared" si="19"/>
        <v>0.23745161723809582</v>
      </c>
      <c r="AZ50" s="46">
        <f t="shared" si="19"/>
        <v>0.3265580466591711</v>
      </c>
      <c r="BA50" s="46">
        <f t="shared" si="19"/>
        <v>0.2730566445850979</v>
      </c>
      <c r="BB50" s="46">
        <f aca="true" t="shared" si="20" ref="BB50:BG50">+BB48/BB8</f>
        <v>0.2940848208952342</v>
      </c>
      <c r="BC50" s="46">
        <f t="shared" si="20"/>
        <v>0.29541459837715833</v>
      </c>
      <c r="BD50" s="46">
        <f t="shared" si="20"/>
        <v>0.24578019369945386</v>
      </c>
      <c r="BE50" s="46">
        <f t="shared" si="20"/>
        <v>0.27277248024743017</v>
      </c>
      <c r="BF50" s="46">
        <f t="shared" si="20"/>
        <v>0.20805612363592932</v>
      </c>
      <c r="BG50" s="46">
        <f t="shared" si="20"/>
        <v>0.23215796798538502</v>
      </c>
      <c r="BH50" s="46">
        <f aca="true" t="shared" si="21" ref="BH50:BN50">+BH48/BH8</f>
        <v>0.25982127698437824</v>
      </c>
      <c r="BI50" s="46">
        <f t="shared" si="21"/>
        <v>0.1814740652384333</v>
      </c>
      <c r="BJ50" s="46">
        <f t="shared" si="21"/>
        <v>0.34365639414642163</v>
      </c>
      <c r="BK50" s="46">
        <f t="shared" si="21"/>
        <v>0.2529019140773491</v>
      </c>
      <c r="BL50" s="46">
        <f t="shared" si="21"/>
        <v>0.2598678546297526</v>
      </c>
      <c r="BM50" s="46">
        <f t="shared" si="21"/>
        <v>0.24369301491605921</v>
      </c>
      <c r="BN50" s="46">
        <f t="shared" si="21"/>
        <v>0.2502668252092994</v>
      </c>
      <c r="BO50" s="46">
        <f>+BO48/BO8</f>
        <v>0.23602326202588392</v>
      </c>
      <c r="BP50" s="46">
        <f>+BP48/BP8</f>
        <v>0.19294214566141626</v>
      </c>
      <c r="BQ50" s="46">
        <f>+BQ48/BQ8</f>
        <v>0.2435605502396499</v>
      </c>
      <c r="BR50" s="46">
        <f>+BR48/BR8</f>
        <v>0.19260008080940988</v>
      </c>
      <c r="BS50" s="45"/>
      <c r="BT50" s="17">
        <f>+BT48/BT8</f>
        <v>0.28721125026105077</v>
      </c>
      <c r="BU50" s="17">
        <f>+BU48/BU8</f>
        <v>0.28080802058985604</v>
      </c>
      <c r="BV50" s="36">
        <f>+BV48/BV8</f>
        <v>0.28633975928516253</v>
      </c>
      <c r="BW50" s="46">
        <f>+BW48/BW8</f>
        <v>0.26521860817666787</v>
      </c>
      <c r="BX50" s="46">
        <f>+BX48/BX8</f>
        <v>0.2420427251120155</v>
      </c>
      <c r="BY50" s="45"/>
      <c r="BZ50" s="45"/>
      <c r="CA50" s="45"/>
      <c r="CB50" s="45"/>
      <c r="CC50" s="45"/>
      <c r="CD50" s="45"/>
      <c r="CE50" s="45"/>
      <c r="CF50" s="45"/>
      <c r="CG50" s="45"/>
      <c r="CH50" s="45"/>
      <c r="CI50" s="45"/>
      <c r="CJ50" s="45"/>
      <c r="CK50" s="45"/>
      <c r="CL50" s="45"/>
      <c r="CM50" s="45"/>
      <c r="CN50" s="45"/>
      <c r="CO50" s="45"/>
      <c r="CP50" s="45"/>
    </row>
    <row r="51" spans="1:94" s="44" customFormat="1" ht="12.75" outlineLevel="1">
      <c r="A51" s="68"/>
      <c r="B51" s="15"/>
      <c r="C51" s="46"/>
      <c r="D51" s="46"/>
      <c r="E51" s="47"/>
      <c r="F51" s="46"/>
      <c r="G51" s="35"/>
      <c r="H51" s="46"/>
      <c r="I51" s="47"/>
      <c r="J51" s="46"/>
      <c r="K51" s="19"/>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5"/>
      <c r="BT51" s="46"/>
      <c r="BU51" s="46"/>
      <c r="BV51" s="46"/>
      <c r="BW51" s="46"/>
      <c r="BX51" s="46"/>
      <c r="BY51" s="45"/>
      <c r="BZ51" s="45"/>
      <c r="CA51" s="45"/>
      <c r="CB51" s="45"/>
      <c r="CC51" s="45"/>
      <c r="CD51" s="45"/>
      <c r="CE51" s="45"/>
      <c r="CF51" s="45"/>
      <c r="CG51" s="45"/>
      <c r="CH51" s="45"/>
      <c r="CI51" s="45"/>
      <c r="CJ51" s="45"/>
      <c r="CK51" s="45"/>
      <c r="CL51" s="45"/>
      <c r="CM51" s="45"/>
      <c r="CN51" s="45"/>
      <c r="CO51" s="45"/>
      <c r="CP51" s="45"/>
    </row>
    <row r="52" spans="1:94" ht="12.75">
      <c r="A52" s="68"/>
      <c r="B52" s="49" t="s">
        <v>42</v>
      </c>
      <c r="C52" s="31">
        <f>+BR52</f>
        <v>0.24159109969666182</v>
      </c>
      <c r="D52" s="31">
        <f>+BF52</f>
        <v>0.2700083814478111</v>
      </c>
      <c r="E52" s="47">
        <f>+C52-D52</f>
        <v>-0.02841728175114927</v>
      </c>
      <c r="F52" s="31">
        <f>+E52/D52</f>
        <v>-0.10524592458490753</v>
      </c>
      <c r="G52" s="29"/>
      <c r="H52" s="31">
        <f>+AT52</f>
        <v>0.28590136232123065</v>
      </c>
      <c r="I52" s="32">
        <f>+D52-H52</f>
        <v>-0.01589298087341956</v>
      </c>
      <c r="J52" s="31">
        <f>+(I52/H52)</f>
        <v>-0.05558903512870519</v>
      </c>
      <c r="L52" s="46">
        <v>0.28566431861687847</v>
      </c>
      <c r="M52" s="46">
        <v>0.2922193627103242</v>
      </c>
      <c r="N52" s="46">
        <v>0.29182929653307094</v>
      </c>
      <c r="O52" s="46">
        <v>0.2896115742812482</v>
      </c>
      <c r="P52" s="46">
        <v>0.2904844286636265</v>
      </c>
      <c r="Q52" s="46">
        <v>0.2896623024505683</v>
      </c>
      <c r="R52" s="46">
        <v>0.2888431523369793</v>
      </c>
      <c r="S52" s="46">
        <v>0.2877594885070005</v>
      </c>
      <c r="T52" s="46">
        <v>0.2860050282734433</v>
      </c>
      <c r="U52" s="46">
        <v>0.2890703156141107</v>
      </c>
      <c r="V52" s="46">
        <v>0.2871940311638899</v>
      </c>
      <c r="W52" s="46">
        <v>0.2872112502610508</v>
      </c>
      <c r="X52" s="46">
        <v>0.2880883332736194</v>
      </c>
      <c r="Y52" s="46">
        <v>0.27926724499393624</v>
      </c>
      <c r="Z52" s="46">
        <v>0.2802681815242714</v>
      </c>
      <c r="AA52" s="46">
        <v>0.2816812930975718</v>
      </c>
      <c r="AB52" s="46">
        <v>0.27989363541059936</v>
      </c>
      <c r="AC52" s="46">
        <v>0.2821169315161019</v>
      </c>
      <c r="AD52" s="46">
        <v>0.28349529513907146</v>
      </c>
      <c r="AE52" s="46">
        <v>0.28451717053455056</v>
      </c>
      <c r="AF52" s="46">
        <v>0.2840938270844644</v>
      </c>
      <c r="AG52" s="46">
        <v>0.28165813715636523</v>
      </c>
      <c r="AH52" s="46">
        <v>0.2799983336861226</v>
      </c>
      <c r="AI52" s="46">
        <v>0.2808080205898561</v>
      </c>
      <c r="AJ52" s="46">
        <v>0.2804041626824212</v>
      </c>
      <c r="AK52" s="46">
        <v>0.2813394118203395</v>
      </c>
      <c r="AL52" s="46">
        <v>0.2804032318436491</v>
      </c>
      <c r="AM52" s="46">
        <v>0.27974550087379557</v>
      </c>
      <c r="AN52" s="46">
        <v>0.2839395854125198</v>
      </c>
      <c r="AO52" s="46">
        <v>0.28329085798215986</v>
      </c>
      <c r="AP52" s="46">
        <v>0.2837450180742222</v>
      </c>
      <c r="AQ52" s="46">
        <v>0.2843889181877863</v>
      </c>
      <c r="AR52" s="46">
        <v>0.28555775437394454</v>
      </c>
      <c r="AS52" s="46">
        <v>0.28448693082369264</v>
      </c>
      <c r="AT52" s="46">
        <v>0.28590136232123065</v>
      </c>
      <c r="AU52" s="46">
        <v>0.28633975928516264</v>
      </c>
      <c r="AV52" s="46">
        <v>0.2829996087717615</v>
      </c>
      <c r="AW52" s="46">
        <v>0.28186845927007115</v>
      </c>
      <c r="AX52" s="46">
        <v>0.2809175442740249</v>
      </c>
      <c r="AY52" s="46">
        <v>0.2777728282912666</v>
      </c>
      <c r="AZ52" s="46">
        <v>0.2767071383179595</v>
      </c>
      <c r="BA52" s="46">
        <v>0.2751779607395701</v>
      </c>
      <c r="BB52" s="46">
        <v>0.2745591934295114</v>
      </c>
      <c r="BC52" s="46">
        <v>0.2753128982490044</v>
      </c>
      <c r="BD52" s="46">
        <v>0.27225202612595995</v>
      </c>
      <c r="BE52" s="46">
        <v>0.2721296882810932</v>
      </c>
      <c r="BF52" s="46">
        <v>0.2700083814478111</v>
      </c>
      <c r="BG52" s="46">
        <v>0.26521860817666776</v>
      </c>
      <c r="BH52" s="46">
        <v>0.2662506623996814</v>
      </c>
      <c r="BI52" s="46">
        <v>0.26288181374262454</v>
      </c>
      <c r="BJ52" s="46">
        <v>0.26678028737683246</v>
      </c>
      <c r="BK52" s="46">
        <v>0.2678845590404746</v>
      </c>
      <c r="BL52" s="46">
        <v>0.2622362572836476</v>
      </c>
      <c r="BM52" s="46">
        <v>0.2597343468275294</v>
      </c>
      <c r="BN52" s="46">
        <v>0.2557348262317172</v>
      </c>
      <c r="BO52" s="46">
        <v>0.25019376461254517</v>
      </c>
      <c r="BP52" s="46">
        <v>0.245695390167763</v>
      </c>
      <c r="BQ52" s="46">
        <v>0.24303560268690688</v>
      </c>
      <c r="BR52" s="46">
        <v>0.24159109969666182</v>
      </c>
      <c r="BS52" s="45"/>
      <c r="BT52" s="17">
        <f>+W52</f>
        <v>0.2872112502610508</v>
      </c>
      <c r="BU52" s="17">
        <f>+AI52</f>
        <v>0.2808080205898561</v>
      </c>
      <c r="BV52" s="36">
        <f>+AU52</f>
        <v>0.28633975928516264</v>
      </c>
      <c r="BW52" s="46">
        <f>+BG52</f>
        <v>0.26521860817666776</v>
      </c>
      <c r="BX52" s="46">
        <f>+BR52</f>
        <v>0.24159109969666182</v>
      </c>
      <c r="BY52" s="45"/>
      <c r="BZ52" s="45"/>
      <c r="CA52" s="45"/>
      <c r="CB52" s="45"/>
      <c r="CC52" s="45"/>
      <c r="CD52" s="45"/>
      <c r="CE52" s="45"/>
      <c r="CF52" s="45"/>
      <c r="CG52" s="45"/>
      <c r="CH52" s="45"/>
      <c r="CI52" s="45"/>
      <c r="CJ52" s="45"/>
      <c r="CK52" s="45"/>
      <c r="CL52" s="45"/>
      <c r="CM52" s="45"/>
      <c r="CN52" s="45"/>
      <c r="CO52" s="45"/>
      <c r="CP52" s="45"/>
    </row>
    <row r="53" spans="1:94" s="44" customFormat="1" ht="12.75" outlineLevel="1">
      <c r="A53" s="68"/>
      <c r="B53" s="15"/>
      <c r="C53" s="46"/>
      <c r="D53" s="46"/>
      <c r="E53" s="47"/>
      <c r="F53" s="46"/>
      <c r="G53" s="45"/>
      <c r="H53" s="46"/>
      <c r="I53" s="47"/>
      <c r="J53" s="46"/>
      <c r="K53" s="19"/>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5"/>
      <c r="BT53" s="46"/>
      <c r="BU53" s="46"/>
      <c r="BV53" s="46"/>
      <c r="BW53" s="46"/>
      <c r="BX53" s="46"/>
      <c r="BY53" s="45"/>
      <c r="BZ53" s="45"/>
      <c r="CA53" s="45"/>
      <c r="CB53" s="45"/>
      <c r="CC53" s="45"/>
      <c r="CD53" s="45"/>
      <c r="CE53" s="45"/>
      <c r="CF53" s="45"/>
      <c r="CG53" s="45"/>
      <c r="CH53" s="45"/>
      <c r="CI53" s="45"/>
      <c r="CJ53" s="45"/>
      <c r="CK53" s="45"/>
      <c r="CL53" s="45"/>
      <c r="CM53" s="45"/>
      <c r="CN53" s="45"/>
      <c r="CO53" s="45"/>
      <c r="CP53" s="45"/>
    </row>
    <row r="54" spans="1:94" ht="15">
      <c r="A54" s="68"/>
      <c r="B54" s="49" t="s">
        <v>21</v>
      </c>
      <c r="C54" s="31">
        <f>+C40/C34</f>
        <v>0.929623957845243</v>
      </c>
      <c r="D54" s="31">
        <f>+D40/D34</f>
        <v>0.9721750648600497</v>
      </c>
      <c r="E54" s="32">
        <f>+C54-D54</f>
        <v>-0.04255110701480669</v>
      </c>
      <c r="F54" s="31">
        <f>+E54/D54</f>
        <v>-0.04376897593123536</v>
      </c>
      <c r="G54" s="28"/>
      <c r="H54" s="31">
        <f>+H40/H34</f>
        <v>0.971327282722284</v>
      </c>
      <c r="I54" s="47">
        <f>+D54-H54</f>
        <v>0.0008477821377657069</v>
      </c>
      <c r="J54" s="31">
        <f>+(I54/H54)</f>
        <v>0.0008728079122720365</v>
      </c>
      <c r="L54" s="46">
        <f>+L40/L34</f>
        <v>1.0030529272596362</v>
      </c>
      <c r="M54" s="46">
        <f>+M40/M34</f>
        <v>1.0964519210399641</v>
      </c>
      <c r="N54" s="46">
        <f>+N40/N34</f>
        <v>0.9965940249368702</v>
      </c>
      <c r="O54" s="46">
        <f>+O40/O34</f>
        <v>0.8934016059534662</v>
      </c>
      <c r="P54" s="46">
        <f aca="true" t="shared" si="22" ref="P54:BA54">+P40/P34</f>
        <v>1.0511718137295314</v>
      </c>
      <c r="Q54" s="46">
        <f t="shared" si="22"/>
        <v>0.8563163192198535</v>
      </c>
      <c r="R54" s="46">
        <f t="shared" si="22"/>
        <v>1.00866917004323</v>
      </c>
      <c r="S54" s="46">
        <f t="shared" si="22"/>
        <v>0.9304669055035166</v>
      </c>
      <c r="T54" s="46">
        <f t="shared" si="22"/>
        <v>1.0015180290477204</v>
      </c>
      <c r="U54" s="46">
        <f t="shared" si="22"/>
        <v>0.9629783538209933</v>
      </c>
      <c r="V54" s="46">
        <f t="shared" si="22"/>
        <v>0.794699273436809</v>
      </c>
      <c r="W54" s="46">
        <f t="shared" si="22"/>
        <v>1.0407655316313675</v>
      </c>
      <c r="X54" s="46">
        <f t="shared" si="22"/>
        <v>0.9528878471678899</v>
      </c>
      <c r="Y54" s="46">
        <f t="shared" si="22"/>
        <v>1.0366326975841016</v>
      </c>
      <c r="Z54" s="46">
        <f t="shared" si="22"/>
        <v>1.0432439557526487</v>
      </c>
      <c r="AA54" s="46">
        <f t="shared" si="22"/>
        <v>0.8960587181227364</v>
      </c>
      <c r="AB54" s="46">
        <f t="shared" si="22"/>
        <v>0.9218693478631043</v>
      </c>
      <c r="AC54" s="46">
        <f t="shared" si="22"/>
        <v>0.9509156047205632</v>
      </c>
      <c r="AD54" s="46">
        <f t="shared" si="22"/>
        <v>0.9901447933755405</v>
      </c>
      <c r="AE54" s="46">
        <f t="shared" si="22"/>
        <v>0.9247699957090088</v>
      </c>
      <c r="AF54" s="46">
        <f t="shared" si="22"/>
        <v>0.9259629137611074</v>
      </c>
      <c r="AG54" s="46">
        <f t="shared" si="22"/>
        <v>0.9198594542892542</v>
      </c>
      <c r="AH54" s="46">
        <f t="shared" si="22"/>
        <v>0.9607785090538972</v>
      </c>
      <c r="AI54" s="46">
        <f t="shared" si="22"/>
        <v>1.0277979515316515</v>
      </c>
      <c r="AJ54" s="46">
        <f t="shared" si="22"/>
        <v>0.8815030048760915</v>
      </c>
      <c r="AK54" s="46">
        <f t="shared" si="22"/>
        <v>0.9674319171885152</v>
      </c>
      <c r="AL54" s="46">
        <f t="shared" si="22"/>
        <v>1.0003293197488878</v>
      </c>
      <c r="AM54" s="46">
        <f t="shared" si="22"/>
        <v>0.9246750451731562</v>
      </c>
      <c r="AN54" s="46">
        <f t="shared" si="22"/>
        <v>0.9477062741389094</v>
      </c>
      <c r="AO54" s="46">
        <f t="shared" si="22"/>
        <v>0.8245287489182923</v>
      </c>
      <c r="AP54" s="46">
        <f t="shared" si="22"/>
        <v>0.9749405734568116</v>
      </c>
      <c r="AQ54" s="46">
        <f t="shared" si="22"/>
        <v>0.9718600760651498</v>
      </c>
      <c r="AR54" s="46">
        <f t="shared" si="22"/>
        <v>0.9478668121773037</v>
      </c>
      <c r="AS54" s="46">
        <f t="shared" si="22"/>
        <v>1.0000870147154488</v>
      </c>
      <c r="AT54" s="46">
        <f t="shared" si="22"/>
        <v>0.971327282722284</v>
      </c>
      <c r="AU54" s="46">
        <f t="shared" si="22"/>
        <v>1.091505698443737</v>
      </c>
      <c r="AV54" s="46">
        <f t="shared" si="22"/>
        <v>0.8808867037939808</v>
      </c>
      <c r="AW54" s="46">
        <f t="shared" si="22"/>
        <v>0.9395040993523133</v>
      </c>
      <c r="AX54" s="46">
        <f t="shared" si="22"/>
        <v>1.0146662104072877</v>
      </c>
      <c r="AY54" s="46">
        <f t="shared" si="22"/>
        <v>0.9348221097738171</v>
      </c>
      <c r="AZ54" s="46">
        <f t="shared" si="22"/>
        <v>0.9980143935409473</v>
      </c>
      <c r="BA54" s="46">
        <f t="shared" si="22"/>
        <v>0.9209972262410837</v>
      </c>
      <c r="BB54" s="46">
        <f aca="true" t="shared" si="23" ref="BB54:BG54">+BB40/BB34</f>
        <v>0.9553951140388479</v>
      </c>
      <c r="BC54" s="46">
        <f t="shared" si="23"/>
        <v>0.9636193727071108</v>
      </c>
      <c r="BD54" s="46">
        <f t="shared" si="23"/>
        <v>0.9667377714456519</v>
      </c>
      <c r="BE54" s="46">
        <f t="shared" si="23"/>
        <v>0.987474309120927</v>
      </c>
      <c r="BF54" s="46">
        <f t="shared" si="23"/>
        <v>0.9721750648600497</v>
      </c>
      <c r="BG54" s="46">
        <f t="shared" si="23"/>
        <v>0.977507597060349</v>
      </c>
      <c r="BH54" s="46">
        <f aca="true" t="shared" si="24" ref="BH54:BN54">+BH40/BH34</f>
        <v>0.8792852714877614</v>
      </c>
      <c r="BI54" s="46">
        <f t="shared" si="24"/>
        <v>0.9579673812148863</v>
      </c>
      <c r="BJ54" s="46">
        <f t="shared" si="24"/>
        <v>1.0971667444769866</v>
      </c>
      <c r="BK54" s="46">
        <f t="shared" si="24"/>
        <v>0.8440263107696238</v>
      </c>
      <c r="BL54" s="46">
        <f t="shared" si="24"/>
        <v>0.9606968431718403</v>
      </c>
      <c r="BM54" s="46">
        <f t="shared" si="24"/>
        <v>0.9526723980076447</v>
      </c>
      <c r="BN54" s="46">
        <f t="shared" si="24"/>
        <v>0.9700098072344254</v>
      </c>
      <c r="BO54" s="46">
        <f>+BO40/BO34</f>
        <v>0.9710663419181338</v>
      </c>
      <c r="BP54" s="46">
        <f>+BP40/BP34</f>
        <v>0.9488952715029714</v>
      </c>
      <c r="BQ54" s="46">
        <f>+BQ40/BQ34</f>
        <v>1.0587937268995224</v>
      </c>
      <c r="BR54" s="46">
        <f>+BR40/BR34</f>
        <v>0.929623957845243</v>
      </c>
      <c r="BS54" s="45"/>
      <c r="BT54" s="17">
        <f>+BT40/BT34</f>
        <v>0.9650552123148127</v>
      </c>
      <c r="BU54" s="17">
        <f>+BU40/BU34</f>
        <v>0.9608314849957417</v>
      </c>
      <c r="BV54" s="36">
        <f>+BV40/BV34</f>
        <v>0.9583497922577454</v>
      </c>
      <c r="BW54" s="46">
        <f>+BW40/BW34</f>
        <v>0.9600185720823408</v>
      </c>
      <c r="BX54" s="46">
        <f>+BX40/BX34</f>
        <v>0.9602035946127309</v>
      </c>
      <c r="BY54" s="45"/>
      <c r="BZ54" s="45"/>
      <c r="CA54" s="45"/>
      <c r="CB54" s="45"/>
      <c r="CC54" s="45"/>
      <c r="CD54" s="45"/>
      <c r="CE54" s="45"/>
      <c r="CF54" s="45"/>
      <c r="CG54" s="45"/>
      <c r="CH54" s="45"/>
      <c r="CI54" s="45"/>
      <c r="CJ54" s="45"/>
      <c r="CK54" s="45"/>
      <c r="CL54" s="45"/>
      <c r="CM54" s="45"/>
      <c r="CN54" s="45"/>
      <c r="CO54" s="45"/>
      <c r="CP54" s="45"/>
    </row>
    <row r="55" spans="1:94" s="44" customFormat="1" ht="15" outlineLevel="1">
      <c r="A55" s="68"/>
      <c r="B55" s="15"/>
      <c r="C55" s="46"/>
      <c r="D55" s="46"/>
      <c r="E55" s="47"/>
      <c r="F55" s="46"/>
      <c r="G55" s="41"/>
      <c r="H55" s="46"/>
      <c r="I55" s="47"/>
      <c r="J55" s="46"/>
      <c r="K55" s="19"/>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5"/>
      <c r="BT55" s="46"/>
      <c r="BU55" s="46"/>
      <c r="BV55" s="46"/>
      <c r="BW55" s="46"/>
      <c r="BX55" s="46"/>
      <c r="BY55" s="45"/>
      <c r="BZ55" s="45"/>
      <c r="CA55" s="45"/>
      <c r="CB55" s="45"/>
      <c r="CC55" s="45"/>
      <c r="CD55" s="45"/>
      <c r="CE55" s="45"/>
      <c r="CF55" s="45"/>
      <c r="CG55" s="45"/>
      <c r="CH55" s="45"/>
      <c r="CI55" s="45"/>
      <c r="CJ55" s="45"/>
      <c r="CK55" s="45"/>
      <c r="CL55" s="45"/>
      <c r="CM55" s="45"/>
      <c r="CN55" s="45"/>
      <c r="CO55" s="45"/>
      <c r="CP55" s="45"/>
    </row>
    <row r="56" spans="1:94" ht="12.75">
      <c r="A56" s="68"/>
      <c r="B56" s="49" t="s">
        <v>43</v>
      </c>
      <c r="C56" s="31">
        <f>+BR56</f>
        <v>0.9616090063216243</v>
      </c>
      <c r="D56" s="31">
        <f>+BF56</f>
        <v>0.9684336677882509</v>
      </c>
      <c r="E56" s="32">
        <f>+C56-D56</f>
        <v>-0.006824661466626636</v>
      </c>
      <c r="F56" s="31">
        <f>+E56/D56</f>
        <v>-0.007047112975959501</v>
      </c>
      <c r="G56" s="29"/>
      <c r="H56" s="31">
        <f>+AT56</f>
        <v>0.9530993708999272</v>
      </c>
      <c r="I56" s="47">
        <f>+D56-H56</f>
        <v>0.015334296888323662</v>
      </c>
      <c r="J56" s="31">
        <f>+(I56/H56)</f>
        <v>0.016088875259507144</v>
      </c>
      <c r="L56" s="46">
        <v>0.9571585314800866</v>
      </c>
      <c r="M56" s="46">
        <v>0.9657688810838169</v>
      </c>
      <c r="N56" s="46">
        <v>0.9663752221190736</v>
      </c>
      <c r="O56" s="46">
        <v>0.9693335135503841</v>
      </c>
      <c r="P56" s="46">
        <v>0.9658776381566604</v>
      </c>
      <c r="Q56" s="46">
        <v>0.9606648957449581</v>
      </c>
      <c r="R56" s="46">
        <v>0.9640567133245814</v>
      </c>
      <c r="S56" s="46">
        <v>0.9647945299594747</v>
      </c>
      <c r="T56" s="46">
        <v>0.9695097679104832</v>
      </c>
      <c r="U56" s="46">
        <v>0.9705942486579157</v>
      </c>
      <c r="V56" s="46">
        <v>0.9616864056400181</v>
      </c>
      <c r="W56" s="46">
        <v>0.9650552123148131</v>
      </c>
      <c r="X56" s="46">
        <v>0.9611513054973787</v>
      </c>
      <c r="Y56" s="46">
        <v>0.9583978007566569</v>
      </c>
      <c r="Z56" s="46">
        <v>0.9619273832568025</v>
      </c>
      <c r="AA56" s="46">
        <v>0.9623892538717649</v>
      </c>
      <c r="AB56" s="46">
        <v>0.9518009340270684</v>
      </c>
      <c r="AC56" s="46">
        <v>0.9600621483062372</v>
      </c>
      <c r="AD56" s="46">
        <v>0.9583977997753569</v>
      </c>
      <c r="AE56" s="46">
        <v>0.9578377906655529</v>
      </c>
      <c r="AF56" s="46">
        <v>0.951245298931163</v>
      </c>
      <c r="AG56" s="46">
        <v>0.9473859380917409</v>
      </c>
      <c r="AH56" s="46">
        <v>0.9618824174091599</v>
      </c>
      <c r="AI56" s="46">
        <v>0.9608314849957418</v>
      </c>
      <c r="AJ56" s="46">
        <v>0.9552744237968641</v>
      </c>
      <c r="AK56" s="46">
        <v>0.9501582425501025</v>
      </c>
      <c r="AL56" s="46">
        <v>0.9470983352675663</v>
      </c>
      <c r="AM56" s="46">
        <v>0.9492349486763559</v>
      </c>
      <c r="AN56" s="46">
        <v>0.9513471529936672</v>
      </c>
      <c r="AO56" s="46">
        <v>0.9401919445265937</v>
      </c>
      <c r="AP56" s="46">
        <v>0.938955124111489</v>
      </c>
      <c r="AQ56" s="46">
        <v>0.9432303690857375</v>
      </c>
      <c r="AR56" s="46">
        <v>0.9451698945806638</v>
      </c>
      <c r="AS56" s="46">
        <v>0.9521195611223557</v>
      </c>
      <c r="AT56" s="46">
        <v>0.9530993708999272</v>
      </c>
      <c r="AU56" s="46">
        <v>0.9583497922577449</v>
      </c>
      <c r="AV56" s="46">
        <v>0.9579416665947814</v>
      </c>
      <c r="AW56" s="46">
        <v>0.9557702798459665</v>
      </c>
      <c r="AX56" s="46">
        <v>0.9572362966403007</v>
      </c>
      <c r="AY56" s="46">
        <v>0.9579397649120904</v>
      </c>
      <c r="AZ56" s="46">
        <v>0.9620223807887633</v>
      </c>
      <c r="BA56" s="46">
        <v>0.9700270330596334</v>
      </c>
      <c r="BB56" s="46">
        <v>0.968264098321197</v>
      </c>
      <c r="BC56" s="46">
        <v>0.9675148415275986</v>
      </c>
      <c r="BD56" s="46">
        <v>0.9691372702592181</v>
      </c>
      <c r="BE56" s="46">
        <v>0.968344554841321</v>
      </c>
      <c r="BF56" s="46">
        <v>0.9684336677882509</v>
      </c>
      <c r="BG56" s="46">
        <v>0.9600185720823378</v>
      </c>
      <c r="BH56" s="46">
        <v>0.959580431083764</v>
      </c>
      <c r="BI56" s="46">
        <v>0.9609420845747096</v>
      </c>
      <c r="BJ56" s="46">
        <v>0.9666761881213891</v>
      </c>
      <c r="BK56" s="46">
        <v>0.9588358048498856</v>
      </c>
      <c r="BL56" s="46">
        <v>0.9560063795560094</v>
      </c>
      <c r="BM56" s="46">
        <v>0.9586255752292155</v>
      </c>
      <c r="BN56" s="46">
        <v>0.9599531872539704</v>
      </c>
      <c r="BO56" s="46">
        <v>0.960680006421604</v>
      </c>
      <c r="BP56" s="46">
        <v>0.9590855677753873</v>
      </c>
      <c r="BQ56" s="46">
        <v>0.965358925345507</v>
      </c>
      <c r="BR56" s="46">
        <v>0.9616090063216243</v>
      </c>
      <c r="BS56" s="45"/>
      <c r="BT56" s="17">
        <f>+W56</f>
        <v>0.9650552123148131</v>
      </c>
      <c r="BU56" s="17">
        <f>+AI56</f>
        <v>0.9608314849957418</v>
      </c>
      <c r="BV56" s="36">
        <f>+AU56</f>
        <v>0.9583497922577449</v>
      </c>
      <c r="BW56" s="46">
        <f>+BG56</f>
        <v>0.9600185720823378</v>
      </c>
      <c r="BX56" s="46">
        <f>+BR56</f>
        <v>0.9616090063216243</v>
      </c>
      <c r="BY56" s="45"/>
      <c r="BZ56" s="45"/>
      <c r="CA56" s="45"/>
      <c r="CB56" s="45"/>
      <c r="CC56" s="45"/>
      <c r="CD56" s="45"/>
      <c r="CE56" s="45"/>
      <c r="CF56" s="45"/>
      <c r="CG56" s="45"/>
      <c r="CH56" s="45"/>
      <c r="CI56" s="45"/>
      <c r="CJ56" s="45"/>
      <c r="CK56" s="45"/>
      <c r="CL56" s="45"/>
      <c r="CM56" s="45"/>
      <c r="CN56" s="45"/>
      <c r="CO56" s="45"/>
      <c r="CP56" s="45"/>
    </row>
    <row r="57" spans="1:94" s="44" customFormat="1" ht="12.75" outlineLevel="1">
      <c r="A57" s="22"/>
      <c r="B57" s="15"/>
      <c r="C57" s="46"/>
      <c r="D57" s="46"/>
      <c r="E57" s="47"/>
      <c r="F57" s="46"/>
      <c r="G57" s="45"/>
      <c r="H57" s="46"/>
      <c r="I57" s="47"/>
      <c r="J57" s="46"/>
      <c r="K57" s="19"/>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5"/>
      <c r="BT57" s="46"/>
      <c r="BU57" s="46"/>
      <c r="BV57" s="46"/>
      <c r="BW57" s="46"/>
      <c r="BX57" s="46"/>
      <c r="BY57" s="45"/>
      <c r="BZ57" s="45"/>
      <c r="CA57" s="45"/>
      <c r="CB57" s="45"/>
      <c r="CC57" s="45"/>
      <c r="CD57" s="45"/>
      <c r="CE57" s="45"/>
      <c r="CF57" s="45"/>
      <c r="CG57" s="45"/>
      <c r="CH57" s="45"/>
      <c r="CI57" s="45"/>
      <c r="CJ57" s="45"/>
      <c r="CK57" s="45"/>
      <c r="CL57" s="45"/>
      <c r="CM57" s="45"/>
      <c r="CN57" s="45"/>
      <c r="CO57" s="45"/>
      <c r="CP57" s="45"/>
    </row>
    <row r="58" spans="1:94" ht="15">
      <c r="A58" s="22"/>
      <c r="B58" s="49" t="s">
        <v>22</v>
      </c>
      <c r="C58" s="31">
        <f>+(1-C50)*C54</f>
        <v>0.7505783084418857</v>
      </c>
      <c r="D58" s="31">
        <f>+(1-D50)*D54</f>
        <v>0.7699080893697596</v>
      </c>
      <c r="E58" s="32">
        <f>+C58-D58</f>
        <v>-0.019329780927873963</v>
      </c>
      <c r="F58" s="31">
        <f>+E58/D58</f>
        <v>-0.025106608431270234</v>
      </c>
      <c r="G58" s="28"/>
      <c r="H58" s="31">
        <f>+(1-H50)*H54</f>
        <v>0.7448164791817224</v>
      </c>
      <c r="I58" s="47">
        <f>+D58-H58</f>
        <v>0.025091610188037183</v>
      </c>
      <c r="J58" s="31">
        <f>+(I58/H58)</f>
        <v>0.033688312341858456</v>
      </c>
      <c r="L58" s="46">
        <f>+(1-L50)*L54</f>
        <v>0.717319498912669</v>
      </c>
      <c r="M58" s="46">
        <f>+(1-M50)*M54</f>
        <v>0.6977058932873659</v>
      </c>
      <c r="N58" s="46">
        <f>+(1-N50)*N54</f>
        <v>0.6896528024213326</v>
      </c>
      <c r="O58" s="46">
        <f>+(1-O50)*O54</f>
        <v>0.6530713667920236</v>
      </c>
      <c r="P58" s="46">
        <f aca="true" t="shared" si="25" ref="P58:BA58">+(1-P50)*P54</f>
        <v>0.7218157823012576</v>
      </c>
      <c r="Q58" s="46">
        <f t="shared" si="25"/>
        <v>0.6220312687855354</v>
      </c>
      <c r="R58" s="46">
        <f t="shared" si="25"/>
        <v>0.7239978071096801</v>
      </c>
      <c r="S58" s="46">
        <f t="shared" si="25"/>
        <v>0.6802473941692782</v>
      </c>
      <c r="T58" s="46">
        <f t="shared" si="25"/>
        <v>0.731522596577742</v>
      </c>
      <c r="U58" s="46">
        <f t="shared" si="25"/>
        <v>0.6601363471679869</v>
      </c>
      <c r="V58" s="46">
        <f t="shared" si="25"/>
        <v>0.611413910016095</v>
      </c>
      <c r="W58" s="46">
        <f t="shared" si="25"/>
        <v>0.754099311684128</v>
      </c>
      <c r="X58" s="46">
        <f t="shared" si="25"/>
        <v>0.6708807516079155</v>
      </c>
      <c r="Y58" s="46">
        <f t="shared" si="25"/>
        <v>0.7856846391689005</v>
      </c>
      <c r="Z58" s="46">
        <f t="shared" si="25"/>
        <v>0.7095675145041137</v>
      </c>
      <c r="AA58" s="46">
        <f t="shared" si="25"/>
        <v>0.6395501703973355</v>
      </c>
      <c r="AB58" s="46">
        <f t="shared" si="25"/>
        <v>0.6525130994907344</v>
      </c>
      <c r="AC58" s="46">
        <f t="shared" si="25"/>
        <v>0.6667669836976596</v>
      </c>
      <c r="AD58" s="46">
        <f t="shared" si="25"/>
        <v>0.695994516583721</v>
      </c>
      <c r="AE58" s="46">
        <f t="shared" si="25"/>
        <v>0.6648162265257841</v>
      </c>
      <c r="AF58" s="46">
        <f t="shared" si="25"/>
        <v>0.6795001666888735</v>
      </c>
      <c r="AG58" s="46">
        <f t="shared" si="25"/>
        <v>0.6564195267252777</v>
      </c>
      <c r="AH58" s="46">
        <f t="shared" si="25"/>
        <v>0.7573859915437153</v>
      </c>
      <c r="AI58" s="46">
        <f t="shared" si="25"/>
        <v>0.7344030575575022</v>
      </c>
      <c r="AJ58" s="46">
        <f t="shared" si="25"/>
        <v>0.6257499534204302</v>
      </c>
      <c r="AK58" s="46">
        <f t="shared" si="25"/>
        <v>0.7179657230642699</v>
      </c>
      <c r="AL58" s="46">
        <f t="shared" si="25"/>
        <v>0.693639309063934</v>
      </c>
      <c r="AM58" s="46">
        <f t="shared" si="25"/>
        <v>0.6676541352559429</v>
      </c>
      <c r="AN58" s="46">
        <f t="shared" si="25"/>
        <v>0.6282229783256168</v>
      </c>
      <c r="AO58" s="46">
        <f t="shared" si="25"/>
        <v>0.5849610316108858</v>
      </c>
      <c r="AP58" s="46">
        <f t="shared" si="25"/>
        <v>0.6810134251672922</v>
      </c>
      <c r="AQ58" s="46">
        <f t="shared" si="25"/>
        <v>0.6915923705598195</v>
      </c>
      <c r="AR58" s="46">
        <f t="shared" si="25"/>
        <v>0.6821317965199432</v>
      </c>
      <c r="AS58" s="46">
        <f t="shared" si="25"/>
        <v>0.7258627229018937</v>
      </c>
      <c r="AT58" s="46">
        <f t="shared" si="25"/>
        <v>0.7448164791817224</v>
      </c>
      <c r="AU58" s="46">
        <f t="shared" si="25"/>
        <v>0.7740543401937274</v>
      </c>
      <c r="AV58" s="46">
        <f t="shared" si="25"/>
        <v>0.6644991741244853</v>
      </c>
      <c r="AW58" s="46">
        <f t="shared" si="25"/>
        <v>0.7129366088398268</v>
      </c>
      <c r="AX58" s="46">
        <f t="shared" si="25"/>
        <v>0.7157213888480374</v>
      </c>
      <c r="AY58" s="46">
        <f t="shared" si="25"/>
        <v>0.7128470879780955</v>
      </c>
      <c r="AZ58" s="46">
        <f t="shared" si="25"/>
        <v>0.6721047626484783</v>
      </c>
      <c r="BA58" s="46">
        <f t="shared" si="25"/>
        <v>0.6695128139715111</v>
      </c>
      <c r="BB58" s="46">
        <f aca="true" t="shared" si="26" ref="BB58:BG58">+(1-BB50)*BB54</f>
        <v>0.6744279130425515</v>
      </c>
      <c r="BC58" s="46">
        <f t="shared" si="26"/>
        <v>0.6789521427303904</v>
      </c>
      <c r="BD58" s="46">
        <f t="shared" si="26"/>
        <v>0.7291327747231612</v>
      </c>
      <c r="BE58" s="46">
        <f t="shared" si="26"/>
        <v>0.7181184926413943</v>
      </c>
      <c r="BF58" s="46">
        <f t="shared" si="26"/>
        <v>0.7699080893697596</v>
      </c>
      <c r="BG58" s="46">
        <f t="shared" si="26"/>
        <v>0.7505714196365418</v>
      </c>
      <c r="BH58" s="46">
        <f aca="true" t="shared" si="27" ref="BH58:BN58">+(1-BH50)*BH54</f>
        <v>0.6508282494162555</v>
      </c>
      <c r="BI58" s="46">
        <f t="shared" si="27"/>
        <v>0.7841211461800051</v>
      </c>
      <c r="BJ58" s="46">
        <f t="shared" si="27"/>
        <v>0.7201183772926569</v>
      </c>
      <c r="BK58" s="46">
        <f t="shared" si="27"/>
        <v>0.6305704412443425</v>
      </c>
      <c r="BL58" s="46">
        <f t="shared" si="27"/>
        <v>0.7110426155871983</v>
      </c>
      <c r="BM58" s="46">
        <f t="shared" si="27"/>
        <v>0.7205127891098498</v>
      </c>
      <c r="BN58" s="46">
        <f t="shared" si="27"/>
        <v>0.7272485323559812</v>
      </c>
      <c r="BO58" s="46">
        <f>+(1-BO50)*BO54</f>
        <v>0.7418720962550734</v>
      </c>
      <c r="BP58" s="46">
        <f>+(1-BP50)*BP54</f>
        <v>0.7658133818112159</v>
      </c>
      <c r="BQ58" s="46">
        <f>+(1-BQ50)*BQ54</f>
        <v>0.8009133441855852</v>
      </c>
      <c r="BR58" s="46">
        <f>+(1-BR50)*BR54</f>
        <v>0.7505783084418857</v>
      </c>
      <c r="BS58" s="45"/>
      <c r="BT58" s="17">
        <f>+(1-BT50)*BT54</f>
        <v>0.6878804982149316</v>
      </c>
      <c r="BU58" s="17">
        <f>+(1-BU50)*BU54</f>
        <v>0.6910222975736755</v>
      </c>
      <c r="BV58" s="36">
        <f>+(1-BV50)*BV54</f>
        <v>0.6839361434316771</v>
      </c>
      <c r="BW58" s="46">
        <f>+(1-BW50)*BW54</f>
        <v>0.7054037825709103</v>
      </c>
      <c r="BX58" s="46">
        <f>+(1-BX50)*BX54</f>
        <v>0.7277932999103125</v>
      </c>
      <c r="BY58" s="45"/>
      <c r="BZ58" s="45"/>
      <c r="CA58" s="45"/>
      <c r="CB58" s="45"/>
      <c r="CC58" s="45"/>
      <c r="CD58" s="45"/>
      <c r="CE58" s="45"/>
      <c r="CF58" s="45"/>
      <c r="CG58" s="45"/>
      <c r="CH58" s="45"/>
      <c r="CI58" s="45"/>
      <c r="CJ58" s="45"/>
      <c r="CK58" s="45"/>
      <c r="CL58" s="45"/>
      <c r="CM58" s="45"/>
      <c r="CN58" s="45"/>
      <c r="CO58" s="45"/>
      <c r="CP58" s="45"/>
    </row>
    <row r="59" spans="1:94" s="44" customFormat="1" ht="15" outlineLevel="1">
      <c r="A59" s="22"/>
      <c r="B59" s="15"/>
      <c r="C59" s="46"/>
      <c r="D59" s="46"/>
      <c r="E59" s="47"/>
      <c r="F59" s="46"/>
      <c r="G59" s="41"/>
      <c r="H59" s="46"/>
      <c r="I59" s="47"/>
      <c r="J59" s="46"/>
      <c r="K59" s="1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46"/>
      <c r="AY59" s="46"/>
      <c r="AZ59" s="46"/>
      <c r="BA59" s="46"/>
      <c r="BB59" s="46"/>
      <c r="BC59" s="46"/>
      <c r="BD59" s="46"/>
      <c r="BE59" s="46"/>
      <c r="BF59" s="46"/>
      <c r="BG59" s="46"/>
      <c r="BH59" s="46"/>
      <c r="BI59" s="46"/>
      <c r="BJ59" s="46"/>
      <c r="BK59" s="46"/>
      <c r="BL59" s="46"/>
      <c r="BM59" s="46"/>
      <c r="BN59" s="46"/>
      <c r="BO59" s="46"/>
      <c r="BP59" s="46"/>
      <c r="BQ59" s="46"/>
      <c r="BR59" s="46"/>
      <c r="BS59" s="45"/>
      <c r="BT59" s="46"/>
      <c r="BU59" s="46"/>
      <c r="BV59" s="46"/>
      <c r="BW59" s="46"/>
      <c r="BX59" s="46"/>
      <c r="BY59" s="45"/>
      <c r="BZ59" s="45"/>
      <c r="CA59" s="45"/>
      <c r="CB59" s="45"/>
      <c r="CC59" s="45"/>
      <c r="CD59" s="45"/>
      <c r="CE59" s="45"/>
      <c r="CF59" s="45"/>
      <c r="CG59" s="45"/>
      <c r="CH59" s="45"/>
      <c r="CI59" s="45"/>
      <c r="CJ59" s="45"/>
      <c r="CK59" s="45"/>
      <c r="CL59" s="45"/>
      <c r="CM59" s="45"/>
      <c r="CN59" s="45"/>
      <c r="CO59" s="45"/>
      <c r="CP59" s="45"/>
    </row>
    <row r="60" spans="1:94" ht="12.75">
      <c r="A60" s="22"/>
      <c r="B60" s="49" t="s">
        <v>44</v>
      </c>
      <c r="C60" s="31">
        <f>+BR60</f>
        <v>0.7292928290061689</v>
      </c>
      <c r="D60" s="31">
        <f>+BF60</f>
        <v>0.706948460609178</v>
      </c>
      <c r="E60" s="32">
        <f>+C60-D60</f>
        <v>0.022344368396990832</v>
      </c>
      <c r="F60" s="31">
        <f>+E60/D60</f>
        <v>0.03160678556077012</v>
      </c>
      <c r="G60" s="29"/>
      <c r="H60" s="31">
        <f>+AT60</f>
        <v>0.6806069623321301</v>
      </c>
      <c r="I60" s="47">
        <f>+D60-H60</f>
        <v>0.026341498277047903</v>
      </c>
      <c r="J60" s="31">
        <f>+(I60/H60)</f>
        <v>0.03870295153430048</v>
      </c>
      <c r="L60" s="46">
        <v>0.6837324917764956</v>
      </c>
      <c r="M60" s="46">
        <v>0.683552514128041</v>
      </c>
      <c r="N60" s="46">
        <v>0.6843586208610742</v>
      </c>
      <c r="O60" s="46">
        <v>0.6886033086874838</v>
      </c>
      <c r="P60" s="46">
        <v>0.6853052242777499</v>
      </c>
      <c r="Q60" s="46">
        <v>0.6823964901600384</v>
      </c>
      <c r="R60" s="46">
        <v>0.6855955332162817</v>
      </c>
      <c r="S60" s="46">
        <v>0.6871657495039842</v>
      </c>
      <c r="T60" s="46">
        <v>0.6922250993278659</v>
      </c>
      <c r="U60" s="46">
        <v>0.6900242628651314</v>
      </c>
      <c r="V60" s="46">
        <v>0.6854958100887495</v>
      </c>
      <c r="W60" s="46">
        <v>0.6878804982149317</v>
      </c>
      <c r="X60" s="46">
        <v>0.6842548278728755</v>
      </c>
      <c r="Y60" s="46">
        <v>0.690748687331098</v>
      </c>
      <c r="Z60" s="46">
        <v>0.6923297447930177</v>
      </c>
      <c r="AA60" s="46">
        <v>0.6913022043779588</v>
      </c>
      <c r="AB60" s="46">
        <v>0.6853979104150282</v>
      </c>
      <c r="AC60" s="46">
        <v>0.6892123609613249</v>
      </c>
      <c r="AD60" s="46">
        <v>0.6866965326674054</v>
      </c>
      <c r="AE60" s="46">
        <v>0.6853164926343246</v>
      </c>
      <c r="AF60" s="46">
        <v>0.6810023814617036</v>
      </c>
      <c r="AG60" s="46">
        <v>0.6805469796006856</v>
      </c>
      <c r="AH60" s="46">
        <v>0.6925569433326157</v>
      </c>
      <c r="AI60" s="46">
        <v>0.6910222975736755</v>
      </c>
      <c r="AJ60" s="46">
        <v>0.687411498860172</v>
      </c>
      <c r="AK60" s="46">
        <v>0.6828412814548092</v>
      </c>
      <c r="AL60" s="46">
        <v>0.6815289011848007</v>
      </c>
      <c r="AM60" s="46">
        <v>0.6836907425119771</v>
      </c>
      <c r="AN60" s="46">
        <v>0.6812220367892644</v>
      </c>
      <c r="AO60" s="46">
        <v>0.6738441618937397</v>
      </c>
      <c r="AP60" s="46">
        <v>0.672531285449591</v>
      </c>
      <c r="AQ60" s="46">
        <v>0.6749861048195782</v>
      </c>
      <c r="AR60" s="46">
        <v>0.6752693019823516</v>
      </c>
      <c r="AS60" s="46">
        <v>0.6812539894014555</v>
      </c>
      <c r="AT60" s="46">
        <v>0.6806069623321301</v>
      </c>
      <c r="AU60" s="46">
        <v>0.6839361434316765</v>
      </c>
      <c r="AV60" s="46">
        <v>0.6868445497222891</v>
      </c>
      <c r="AW60" s="46">
        <v>0.6863687836496593</v>
      </c>
      <c r="AX60" s="46">
        <v>0.6883318268981455</v>
      </c>
      <c r="AY60" s="46">
        <v>0.6918501270797881</v>
      </c>
      <c r="AZ60" s="46">
        <v>0.6958239208028743</v>
      </c>
      <c r="BA60" s="46">
        <v>0.703096972240028</v>
      </c>
      <c r="BB60" s="46">
        <v>0.702418288459376</v>
      </c>
      <c r="BC60" s="46">
        <v>0.7011455264077092</v>
      </c>
      <c r="BD60" s="46">
        <v>0.7052876848369639</v>
      </c>
      <c r="BE60" s="46">
        <v>0.7048292529836584</v>
      </c>
      <c r="BF60" s="46">
        <v>0.706948460609178</v>
      </c>
      <c r="BG60" s="46">
        <v>0.7054037825709082</v>
      </c>
      <c r="BH60" s="46">
        <v>0.70409150568194</v>
      </c>
      <c r="BI60" s="46">
        <v>0.7083278864800915</v>
      </c>
      <c r="BJ60" s="46">
        <v>0.708786036854024</v>
      </c>
      <c r="BK60" s="46">
        <v>0.7019784980754554</v>
      </c>
      <c r="BL60" s="46">
        <v>0.7053068446419513</v>
      </c>
      <c r="BM60" s="46">
        <v>0.7096375875948906</v>
      </c>
      <c r="BN60" s="46">
        <v>0.714396896172487</v>
      </c>
      <c r="BO60" s="46">
        <v>0.7203238590269788</v>
      </c>
      <c r="BP60" s="46">
        <v>0.7234426649965431</v>
      </c>
      <c r="BQ60" s="46">
        <v>0.7307317991626122</v>
      </c>
      <c r="BR60" s="46">
        <v>0.7292928290061689</v>
      </c>
      <c r="BS60" s="45"/>
      <c r="BT60" s="17">
        <f>+W60</f>
        <v>0.6878804982149317</v>
      </c>
      <c r="BU60" s="17">
        <f>+AI60</f>
        <v>0.6910222975736755</v>
      </c>
      <c r="BV60" s="36">
        <f>+AU60</f>
        <v>0.6839361434316765</v>
      </c>
      <c r="BW60" s="46">
        <f>+BG60</f>
        <v>0.7054037825709082</v>
      </c>
      <c r="BX60" s="46">
        <f>+BR60</f>
        <v>0.7292928290061689</v>
      </c>
      <c r="BY60" s="45"/>
      <c r="BZ60" s="45"/>
      <c r="CA60" s="45"/>
      <c r="CB60" s="45"/>
      <c r="CC60" s="45"/>
      <c r="CD60" s="45"/>
      <c r="CE60" s="45"/>
      <c r="CF60" s="45"/>
      <c r="CG60" s="45"/>
      <c r="CH60" s="45"/>
      <c r="CI60" s="45"/>
      <c r="CJ60" s="45"/>
      <c r="CK60" s="45"/>
      <c r="CL60" s="45"/>
      <c r="CM60" s="45"/>
      <c r="CN60" s="45"/>
      <c r="CO60" s="45"/>
      <c r="CP60" s="45"/>
    </row>
    <row r="61" spans="1:94" s="44" customFormat="1" ht="12.75" outlineLevel="1">
      <c r="A61" s="22"/>
      <c r="B61" s="15"/>
      <c r="C61" s="46"/>
      <c r="D61" s="46"/>
      <c r="E61" s="47"/>
      <c r="F61" s="46"/>
      <c r="G61" s="45"/>
      <c r="H61" s="46"/>
      <c r="I61" s="47"/>
      <c r="J61" s="46"/>
      <c r="K61" s="19"/>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5"/>
      <c r="BT61" s="46"/>
      <c r="BU61" s="46"/>
      <c r="BV61" s="46"/>
      <c r="BW61" s="46"/>
      <c r="BX61" s="46"/>
      <c r="BY61" s="45"/>
      <c r="BZ61" s="45"/>
      <c r="CA61" s="45"/>
      <c r="CB61" s="45"/>
      <c r="CC61" s="45"/>
      <c r="CD61" s="45"/>
      <c r="CE61" s="45"/>
      <c r="CF61" s="45"/>
      <c r="CG61" s="45"/>
      <c r="CH61" s="45"/>
      <c r="CI61" s="45"/>
      <c r="CJ61" s="45"/>
      <c r="CK61" s="45"/>
      <c r="CL61" s="45"/>
      <c r="CM61" s="45"/>
      <c r="CN61" s="45"/>
      <c r="CO61" s="45"/>
      <c r="CP61" s="45"/>
    </row>
    <row r="62" spans="1:94" ht="15">
      <c r="A62" s="22"/>
      <c r="B62" s="49" t="s">
        <v>23</v>
      </c>
      <c r="C62" s="31">
        <f>+C36/C8</f>
        <v>0.7481314608122805</v>
      </c>
      <c r="D62" s="31">
        <f>+D36/D8</f>
        <v>0.7669520302283681</v>
      </c>
      <c r="E62" s="32">
        <f>+C62-D62</f>
        <v>-0.018820569416087563</v>
      </c>
      <c r="F62" s="31">
        <f>+E62/D62</f>
        <v>-0.024539434898534055</v>
      </c>
      <c r="G62" s="28"/>
      <c r="H62" s="31">
        <f>+H36/H8</f>
        <v>0.7344281865111606</v>
      </c>
      <c r="I62" s="47">
        <f>+D62-H62</f>
        <v>0.03252384371720751</v>
      </c>
      <c r="J62" s="31">
        <f>+(I62/H62)</f>
        <v>0.044284579914762395</v>
      </c>
      <c r="L62" s="46">
        <f>+L36/L8</f>
        <v>0.7182125136660303</v>
      </c>
      <c r="M62" s="46">
        <f>+M36/M8</f>
        <v>0.6783480993328806</v>
      </c>
      <c r="N62" s="46">
        <f>+N36/N8</f>
        <v>0.7715060426342628</v>
      </c>
      <c r="O62" s="46">
        <f>+O36/O8</f>
        <v>0.7036205241609387</v>
      </c>
      <c r="P62" s="46">
        <f aca="true" t="shared" si="28" ref="P62:BA62">+P36/P8</f>
        <v>0.726803332231925</v>
      </c>
      <c r="Q62" s="46">
        <f t="shared" si="28"/>
        <v>0.6211273429728389</v>
      </c>
      <c r="R62" s="46">
        <f t="shared" si="28"/>
        <v>0.7312007816608656</v>
      </c>
      <c r="S62" s="46">
        <f t="shared" si="28"/>
        <v>0.6745385916652058</v>
      </c>
      <c r="T62" s="46">
        <f t="shared" si="28"/>
        <v>0.7264702679639967</v>
      </c>
      <c r="U62" s="46">
        <f t="shared" si="28"/>
        <v>0.6762607144442905</v>
      </c>
      <c r="V62" s="46">
        <f t="shared" si="28"/>
        <v>0.6087491359433744</v>
      </c>
      <c r="W62" s="46">
        <f t="shared" si="28"/>
        <v>0.763231314306393</v>
      </c>
      <c r="X62" s="46">
        <f t="shared" si="28"/>
        <v>0.6689372347541855</v>
      </c>
      <c r="Y62" s="46">
        <f t="shared" si="28"/>
        <v>0.7727905117905994</v>
      </c>
      <c r="Z62" s="46">
        <f t="shared" si="28"/>
        <v>0.712441283732833</v>
      </c>
      <c r="AA62" s="46">
        <f t="shared" si="28"/>
        <v>0.6306647230967337</v>
      </c>
      <c r="AB62" s="46">
        <f t="shared" si="28"/>
        <v>0.6680350587899944</v>
      </c>
      <c r="AC62" s="46">
        <f t="shared" si="28"/>
        <v>0.6607228677099647</v>
      </c>
      <c r="AD62" s="46">
        <f t="shared" si="28"/>
        <v>0.7001754976011944</v>
      </c>
      <c r="AE62" s="46">
        <f t="shared" si="28"/>
        <v>0.6692942220210688</v>
      </c>
      <c r="AF62" s="46">
        <f t="shared" si="28"/>
        <v>0.6771504827682542</v>
      </c>
      <c r="AG62" s="46">
        <f t="shared" si="28"/>
        <v>0.6617629147063979</v>
      </c>
      <c r="AH62" s="46">
        <f t="shared" si="28"/>
        <v>0.7524222108839866</v>
      </c>
      <c r="AI62" s="46">
        <f t="shared" si="28"/>
        <v>0.7334330889508528</v>
      </c>
      <c r="AJ62" s="46">
        <f t="shared" si="28"/>
        <v>0.6312070441040507</v>
      </c>
      <c r="AK62" s="46">
        <f t="shared" si="28"/>
        <v>0.7210987796664334</v>
      </c>
      <c r="AL62" s="46">
        <f t="shared" si="28"/>
        <v>0.6949988619713049</v>
      </c>
      <c r="AM62" s="46">
        <f t="shared" si="28"/>
        <v>0.6734731501200965</v>
      </c>
      <c r="AN62" s="46">
        <f t="shared" si="28"/>
        <v>0.6262927222360778</v>
      </c>
      <c r="AO62" s="46">
        <f t="shared" si="28"/>
        <v>0.5972179356557699</v>
      </c>
      <c r="AP62" s="46">
        <f t="shared" si="28"/>
        <v>0.6809033309129399</v>
      </c>
      <c r="AQ62" s="46">
        <f t="shared" si="28"/>
        <v>0.6991731298394841</v>
      </c>
      <c r="AR62" s="46">
        <f t="shared" si="28"/>
        <v>0.6713103025771002</v>
      </c>
      <c r="AS62" s="46">
        <f t="shared" si="28"/>
        <v>0.6921398900435279</v>
      </c>
      <c r="AT62" s="46">
        <f t="shared" si="28"/>
        <v>0.7344281865111606</v>
      </c>
      <c r="AU62" s="46">
        <f t="shared" si="28"/>
        <v>0.7548906006864224</v>
      </c>
      <c r="AV62" s="46">
        <f t="shared" si="28"/>
        <v>0.6774000131788988</v>
      </c>
      <c r="AW62" s="46">
        <f t="shared" si="28"/>
        <v>0.7309393132840425</v>
      </c>
      <c r="AX62" s="46">
        <f t="shared" si="28"/>
        <v>0.7350351703315057</v>
      </c>
      <c r="AY62" s="46">
        <f t="shared" si="28"/>
        <v>0.710365179082207</v>
      </c>
      <c r="AZ62" s="46">
        <f t="shared" si="28"/>
        <v>0.6774998097109439</v>
      </c>
      <c r="BA62" s="46">
        <f t="shared" si="28"/>
        <v>0.671948584574691</v>
      </c>
      <c r="BB62" s="46">
        <f aca="true" t="shared" si="29" ref="BB62:BG62">+BB36/BB8</f>
        <v>0.6737334686765509</v>
      </c>
      <c r="BC62" s="46">
        <f t="shared" si="29"/>
        <v>0.682846736152772</v>
      </c>
      <c r="BD62" s="46">
        <f t="shared" si="29"/>
        <v>0.720727179872295</v>
      </c>
      <c r="BE62" s="46">
        <f t="shared" si="29"/>
        <v>0.7089162845066587</v>
      </c>
      <c r="BF62" s="46">
        <f t="shared" si="29"/>
        <v>0.7669520302283681</v>
      </c>
      <c r="BG62" s="46">
        <f t="shared" si="29"/>
        <v>0.7494330854570175</v>
      </c>
      <c r="BH62" s="46">
        <f aca="true" t="shared" si="30" ref="BH62:BN62">+BH36/BH8</f>
        <v>0.6534509349203464</v>
      </c>
      <c r="BI62" s="46">
        <f t="shared" si="30"/>
        <v>0.7673083184076084</v>
      </c>
      <c r="BJ62" s="46">
        <f t="shared" si="30"/>
        <v>0.7412765888823643</v>
      </c>
      <c r="BK62" s="46">
        <f t="shared" si="30"/>
        <v>0.6423583717808422</v>
      </c>
      <c r="BL62" s="46">
        <f t="shared" si="30"/>
        <v>0.7112497971894953</v>
      </c>
      <c r="BM62" s="46">
        <f t="shared" si="30"/>
        <v>0.7269769538929388</v>
      </c>
      <c r="BN62" s="46">
        <f t="shared" si="30"/>
        <v>0.73043283751565</v>
      </c>
      <c r="BO62" s="46">
        <f>+BO36/BO8</f>
        <v>0.7431823930847936</v>
      </c>
      <c r="BP62" s="46">
        <f>+BP36/BP8</f>
        <v>0.7585836961374081</v>
      </c>
      <c r="BQ62" s="46">
        <f>+BQ36/BQ8</f>
        <v>0.8050873981608587</v>
      </c>
      <c r="BR62" s="46">
        <f>+BR36/BR8</f>
        <v>0.7481314608122805</v>
      </c>
      <c r="BS62" s="45"/>
      <c r="BT62" s="17">
        <f>+BT36/BT8</f>
        <v>0.6998884868838133</v>
      </c>
      <c r="BU62" s="17">
        <f>+BU36/BU8</f>
        <v>0.6909609258337004</v>
      </c>
      <c r="BV62" s="36">
        <f>+BV36/BV8</f>
        <v>0.6806716182365982</v>
      </c>
      <c r="BW62" s="46">
        <f>+BW36/BW8</f>
        <v>0.7078908088371451</v>
      </c>
      <c r="BX62" s="46">
        <f>+BX36/BX8</f>
        <v>0.7301673747102123</v>
      </c>
      <c r="BY62" s="45"/>
      <c r="BZ62" s="45"/>
      <c r="CA62" s="45"/>
      <c r="CB62" s="45"/>
      <c r="CC62" s="45"/>
      <c r="CD62" s="45"/>
      <c r="CE62" s="45"/>
      <c r="CF62" s="45"/>
      <c r="CG62" s="45"/>
      <c r="CH62" s="45"/>
      <c r="CI62" s="45"/>
      <c r="CJ62" s="45"/>
      <c r="CK62" s="45"/>
      <c r="CL62" s="45"/>
      <c r="CM62" s="45"/>
      <c r="CN62" s="45"/>
      <c r="CO62" s="45"/>
      <c r="CP62" s="45"/>
    </row>
    <row r="63" spans="1:94" s="44" customFormat="1" ht="15" outlineLevel="1">
      <c r="A63" s="22"/>
      <c r="B63" s="15"/>
      <c r="C63" s="46"/>
      <c r="D63" s="46"/>
      <c r="E63" s="47"/>
      <c r="F63" s="46"/>
      <c r="G63" s="41"/>
      <c r="H63" s="46"/>
      <c r="I63" s="47"/>
      <c r="J63" s="46"/>
      <c r="K63" s="19"/>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5"/>
      <c r="BT63" s="46"/>
      <c r="BU63" s="46"/>
      <c r="BV63" s="46"/>
      <c r="BW63" s="46"/>
      <c r="BX63" s="46"/>
      <c r="BY63" s="45"/>
      <c r="BZ63" s="45"/>
      <c r="CA63" s="45"/>
      <c r="CB63" s="45"/>
      <c r="CC63" s="45"/>
      <c r="CD63" s="45"/>
      <c r="CE63" s="45"/>
      <c r="CF63" s="45"/>
      <c r="CG63" s="45"/>
      <c r="CH63" s="45"/>
      <c r="CI63" s="45"/>
      <c r="CJ63" s="45"/>
      <c r="CK63" s="45"/>
      <c r="CL63" s="45"/>
      <c r="CM63" s="45"/>
      <c r="CN63" s="45"/>
      <c r="CO63" s="45"/>
      <c r="CP63" s="45"/>
    </row>
    <row r="64" spans="1:94" ht="12.75">
      <c r="A64" s="22"/>
      <c r="B64" s="49" t="s">
        <v>45</v>
      </c>
      <c r="C64" s="31">
        <f>+BR64</f>
        <v>0.7313931597446014</v>
      </c>
      <c r="D64" s="31">
        <f>+BF64</f>
        <v>0.7083130740039011</v>
      </c>
      <c r="E64" s="32">
        <f>+C64-D64</f>
        <v>0.023080085740700307</v>
      </c>
      <c r="F64" s="31">
        <f>+E64/D64</f>
        <v>0.032584582422338845</v>
      </c>
      <c r="G64" s="29"/>
      <c r="H64" s="31">
        <f>+AT64</f>
        <v>0.6787210366300509</v>
      </c>
      <c r="I64" s="47">
        <f>+D64-H64</f>
        <v>0.02959203737385019</v>
      </c>
      <c r="J64" s="31">
        <f>+(I64/H64)</f>
        <v>0.04359970558858611</v>
      </c>
      <c r="L64" s="46">
        <v>0.6838971229170232</v>
      </c>
      <c r="M64" s="46">
        <v>0.6818300289574258</v>
      </c>
      <c r="N64" s="46">
        <v>0.6899199378342153</v>
      </c>
      <c r="O64" s="46">
        <v>0.6974587625333887</v>
      </c>
      <c r="P64" s="46">
        <v>0.6952143299256165</v>
      </c>
      <c r="Q64" s="46">
        <v>0.6920155466385933</v>
      </c>
      <c r="R64" s="46">
        <v>0.6970498900891129</v>
      </c>
      <c r="S64" s="46">
        <v>0.6967952871280935</v>
      </c>
      <c r="T64" s="46">
        <v>0.7016393993034348</v>
      </c>
      <c r="U64" s="46">
        <v>0.7010364428781135</v>
      </c>
      <c r="V64" s="46">
        <v>0.6962834057122452</v>
      </c>
      <c r="W64" s="46">
        <v>0.6998884868838133</v>
      </c>
      <c r="X64" s="46">
        <v>0.6959943905235438</v>
      </c>
      <c r="Y64" s="46">
        <v>0.7028922991079799</v>
      </c>
      <c r="Z64" s="46">
        <v>0.6980243384213642</v>
      </c>
      <c r="AA64" s="46">
        <v>0.6920388192729877</v>
      </c>
      <c r="AB64" s="46">
        <v>0.6869932576615676</v>
      </c>
      <c r="AC64" s="46">
        <v>0.6903307943866576</v>
      </c>
      <c r="AD64" s="46">
        <v>0.6876420091090479</v>
      </c>
      <c r="AE64" s="46">
        <v>0.6870730987454601</v>
      </c>
      <c r="AF64" s="46">
        <v>0.6829777695678627</v>
      </c>
      <c r="AG64" s="46">
        <v>0.681604120808543</v>
      </c>
      <c r="AH64" s="46">
        <v>0.693095225348108</v>
      </c>
      <c r="AI64" s="46">
        <v>0.6909609258337004</v>
      </c>
      <c r="AJ64" s="46">
        <v>0.6878501345195797</v>
      </c>
      <c r="AK64" s="46">
        <v>0.6844876345932952</v>
      </c>
      <c r="AL64" s="46">
        <v>0.6831575588799829</v>
      </c>
      <c r="AM64" s="46">
        <v>0.6864172044823508</v>
      </c>
      <c r="AN64" s="46">
        <v>0.6824542640643955</v>
      </c>
      <c r="AO64" s="46">
        <v>0.6767116177715836</v>
      </c>
      <c r="AP64" s="46">
        <v>0.6750579925862474</v>
      </c>
      <c r="AQ64" s="46">
        <v>0.6777189174762782</v>
      </c>
      <c r="AR64" s="46">
        <v>0.6771943723472685</v>
      </c>
      <c r="AS64" s="46">
        <v>0.6798525532728639</v>
      </c>
      <c r="AT64" s="46">
        <v>0.6787210366300509</v>
      </c>
      <c r="AU64" s="46">
        <v>0.6806705454913698</v>
      </c>
      <c r="AV64" s="46">
        <v>0.6841779860423721</v>
      </c>
      <c r="AW64" s="46">
        <v>0.684789727375905</v>
      </c>
      <c r="AX64" s="46">
        <v>0.6880108403653046</v>
      </c>
      <c r="AY64" s="46">
        <v>0.690925322010945</v>
      </c>
      <c r="AZ64" s="46">
        <v>0.6955186438204483</v>
      </c>
      <c r="BA64" s="46">
        <v>0.7020277489769053</v>
      </c>
      <c r="BB64" s="46">
        <v>0.7013205520953574</v>
      </c>
      <c r="BC64" s="75">
        <v>0.6997599332453666</v>
      </c>
      <c r="BD64" s="46">
        <v>0.704132527810044</v>
      </c>
      <c r="BE64" s="46">
        <v>0.7056042383771952</v>
      </c>
      <c r="BF64" s="46">
        <v>0.7083130740039011</v>
      </c>
      <c r="BG64" s="46">
        <v>0.7078908088371451</v>
      </c>
      <c r="BH64" s="46">
        <v>0.7059149274342431</v>
      </c>
      <c r="BI64" s="46">
        <v>0.7077145778371075</v>
      </c>
      <c r="BJ64" s="46">
        <v>0.7083221159886229</v>
      </c>
      <c r="BK64" s="46">
        <v>0.7027370077294849</v>
      </c>
      <c r="BL64" s="46">
        <v>0.7056087123573254</v>
      </c>
      <c r="BM64" s="46">
        <v>0.7103140681242917</v>
      </c>
      <c r="BN64" s="46">
        <v>0.715415848369844</v>
      </c>
      <c r="BO64" s="46">
        <v>0.7210864542422151</v>
      </c>
      <c r="BP64" s="46">
        <v>0.7243322824187876</v>
      </c>
      <c r="BQ64" s="46">
        <v>0.7328160968626558</v>
      </c>
      <c r="BR64" s="46">
        <v>0.7313931597446014</v>
      </c>
      <c r="BS64" s="45"/>
      <c r="BT64" s="17">
        <f>+W64</f>
        <v>0.6998884868838133</v>
      </c>
      <c r="BU64" s="17">
        <f>+AI64</f>
        <v>0.6909609258337004</v>
      </c>
      <c r="BV64" s="36">
        <f>+AU64</f>
        <v>0.6806705454913698</v>
      </c>
      <c r="BW64" s="46">
        <f>+BG64</f>
        <v>0.7078908088371451</v>
      </c>
      <c r="BX64" s="46">
        <f>+BR64</f>
        <v>0.7313931597446014</v>
      </c>
      <c r="BY64" s="45"/>
      <c r="BZ64" s="45"/>
      <c r="CA64" s="45"/>
      <c r="CB64" s="45"/>
      <c r="CC64" s="45"/>
      <c r="CD64" s="45"/>
      <c r="CE64" s="45"/>
      <c r="CF64" s="45"/>
      <c r="CG64" s="45"/>
      <c r="CH64" s="45"/>
      <c r="CI64" s="45"/>
      <c r="CJ64" s="45"/>
      <c r="CK64" s="45"/>
      <c r="CL64" s="45"/>
      <c r="CM64" s="45"/>
      <c r="CN64" s="45"/>
      <c r="CO64" s="45"/>
      <c r="CP64" s="45"/>
    </row>
    <row r="65" spans="1:94" s="44" customFormat="1" ht="12.75" outlineLevel="1">
      <c r="A65" s="22"/>
      <c r="B65" s="15"/>
      <c r="C65" s="46"/>
      <c r="D65" s="46"/>
      <c r="E65" s="47"/>
      <c r="F65" s="46"/>
      <c r="G65" s="45"/>
      <c r="H65" s="46"/>
      <c r="I65" s="47"/>
      <c r="J65" s="46"/>
      <c r="K65" s="19"/>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5"/>
      <c r="BT65" s="46"/>
      <c r="BU65" s="46"/>
      <c r="BV65" s="46"/>
      <c r="BW65" s="46"/>
      <c r="BX65" s="46"/>
      <c r="BY65" s="45"/>
      <c r="BZ65" s="45"/>
      <c r="CA65" s="45"/>
      <c r="CB65" s="45"/>
      <c r="CC65" s="45"/>
      <c r="CD65" s="45"/>
      <c r="CE65" s="45"/>
      <c r="CF65" s="45"/>
      <c r="CG65" s="45"/>
      <c r="CH65" s="45"/>
      <c r="CI65" s="45"/>
      <c r="CJ65" s="45"/>
      <c r="CK65" s="45"/>
      <c r="CL65" s="45"/>
      <c r="CM65" s="45"/>
      <c r="CN65" s="45"/>
      <c r="CO65" s="45"/>
      <c r="CP65" s="45"/>
    </row>
    <row r="66" spans="1:94" ht="12.75">
      <c r="A66" s="22"/>
      <c r="B66" s="49" t="s">
        <v>50</v>
      </c>
      <c r="C66" s="33">
        <f>+BR66</f>
        <v>799658</v>
      </c>
      <c r="D66" s="33">
        <f>+BF66</f>
        <v>676202</v>
      </c>
      <c r="E66" s="33">
        <f>+C66-D66</f>
        <v>123456</v>
      </c>
      <c r="F66" s="31">
        <f>+E66/D66</f>
        <v>0.18257266319827506</v>
      </c>
      <c r="G66" s="30"/>
      <c r="H66" s="33">
        <f>+AT66</f>
        <v>640867</v>
      </c>
      <c r="I66" s="33">
        <f>+D66-H66</f>
        <v>35335</v>
      </c>
      <c r="J66" s="31">
        <f>+(I66/H66)</f>
        <v>0.05513624511794179</v>
      </c>
      <c r="L66" s="23">
        <v>575294</v>
      </c>
      <c r="M66" s="23">
        <v>555715</v>
      </c>
      <c r="N66" s="23">
        <v>582035</v>
      </c>
      <c r="O66" s="23">
        <v>583864</v>
      </c>
      <c r="P66" s="23">
        <v>585073</v>
      </c>
      <c r="Q66" s="23">
        <v>587452</v>
      </c>
      <c r="R66" s="23">
        <v>588883</v>
      </c>
      <c r="S66" s="23">
        <v>590875</v>
      </c>
      <c r="T66" s="23">
        <v>590252</v>
      </c>
      <c r="U66" s="40">
        <v>594225</v>
      </c>
      <c r="V66" s="40">
        <v>593947</v>
      </c>
      <c r="W66" s="23">
        <v>597382</v>
      </c>
      <c r="X66" s="23">
        <v>596168</v>
      </c>
      <c r="Y66" s="23">
        <v>597577</v>
      </c>
      <c r="Z66" s="23">
        <v>599683</v>
      </c>
      <c r="AA66" s="23">
        <v>602241</v>
      </c>
      <c r="AB66" s="23">
        <v>606952</v>
      </c>
      <c r="AC66" s="23">
        <v>605470</v>
      </c>
      <c r="AD66" s="23">
        <v>611374</v>
      </c>
      <c r="AE66" s="23">
        <v>610393</v>
      </c>
      <c r="AF66" s="40">
        <v>633370</v>
      </c>
      <c r="AG66" s="40">
        <v>635495</v>
      </c>
      <c r="AH66" s="40">
        <v>634993</v>
      </c>
      <c r="AI66" s="40">
        <v>633894</v>
      </c>
      <c r="AJ66" s="40">
        <v>639916</v>
      </c>
      <c r="AK66" s="40">
        <v>633889</v>
      </c>
      <c r="AL66" s="40">
        <v>626269</v>
      </c>
      <c r="AM66" s="40">
        <v>634675</v>
      </c>
      <c r="AN66" s="40">
        <v>633489</v>
      </c>
      <c r="AO66" s="40">
        <v>634537</v>
      </c>
      <c r="AP66" s="40">
        <v>636393</v>
      </c>
      <c r="AQ66" s="40">
        <v>637591</v>
      </c>
      <c r="AR66" s="40">
        <v>638039</v>
      </c>
      <c r="AS66" s="40">
        <v>660876</v>
      </c>
      <c r="AT66" s="40">
        <v>640867</v>
      </c>
      <c r="AU66" s="40">
        <v>642666</v>
      </c>
      <c r="AV66" s="40">
        <v>641140</v>
      </c>
      <c r="AW66" s="40">
        <v>641274</v>
      </c>
      <c r="AX66" s="40">
        <v>646803</v>
      </c>
      <c r="AY66" s="40">
        <v>645761</v>
      </c>
      <c r="AZ66" s="40">
        <v>631621</v>
      </c>
      <c r="BA66" s="40">
        <v>638458</v>
      </c>
      <c r="BB66" s="40">
        <v>643499</v>
      </c>
      <c r="BC66" s="40">
        <v>650027</v>
      </c>
      <c r="BD66" s="40">
        <v>650170</v>
      </c>
      <c r="BE66" s="40">
        <v>667791</v>
      </c>
      <c r="BF66" s="40">
        <v>676202</v>
      </c>
      <c r="BG66" s="40">
        <v>691728</v>
      </c>
      <c r="BH66" s="40">
        <v>701080</v>
      </c>
      <c r="BI66" s="40">
        <v>712810</v>
      </c>
      <c r="BJ66" s="40">
        <v>718040</v>
      </c>
      <c r="BK66" s="40">
        <v>734921</v>
      </c>
      <c r="BL66" s="40">
        <v>747555</v>
      </c>
      <c r="BM66" s="40">
        <v>757278</v>
      </c>
      <c r="BN66" s="40">
        <v>765753</v>
      </c>
      <c r="BO66" s="40">
        <v>776878</v>
      </c>
      <c r="BP66" s="40">
        <v>784594</v>
      </c>
      <c r="BQ66" s="40">
        <v>796358</v>
      </c>
      <c r="BR66" s="40">
        <v>799658</v>
      </c>
      <c r="BS66" s="45"/>
      <c r="BT66" s="23">
        <f>+AVERAGE(L66:W66)</f>
        <v>585416.4166666666</v>
      </c>
      <c r="BU66" s="23">
        <f>+AVERAGE(X66:AI66)</f>
        <v>613967.5</v>
      </c>
      <c r="BV66" s="38">
        <f>+AVERAGE(AJ66:AU66)</f>
        <v>638267.25</v>
      </c>
      <c r="BW66" s="40">
        <f>+AVERAGE(AV66:BG66)</f>
        <v>652039.5</v>
      </c>
      <c r="BX66" s="40">
        <f>+AVERAGE(BH66:BR66)</f>
        <v>754084.0909090909</v>
      </c>
      <c r="BY66" s="45"/>
      <c r="BZ66" s="45"/>
      <c r="CA66" s="45"/>
      <c r="CB66" s="45"/>
      <c r="CC66" s="45"/>
      <c r="CD66" s="45"/>
      <c r="CE66" s="45"/>
      <c r="CF66" s="45"/>
      <c r="CG66" s="45"/>
      <c r="CH66" s="45"/>
      <c r="CI66" s="45"/>
      <c r="CJ66" s="45"/>
      <c r="CK66" s="45"/>
      <c r="CL66" s="45"/>
      <c r="CM66" s="45"/>
      <c r="CN66" s="45"/>
      <c r="CO66" s="45"/>
      <c r="CP66" s="45"/>
    </row>
    <row r="67" spans="1:94" s="44" customFormat="1" ht="12.75" outlineLevel="1">
      <c r="A67" s="22"/>
      <c r="C67" s="40"/>
      <c r="D67" s="40"/>
      <c r="E67" s="40"/>
      <c r="F67" s="46"/>
      <c r="G67" s="35"/>
      <c r="H67" s="40"/>
      <c r="I67" s="40"/>
      <c r="J67" s="46"/>
      <c r="K67" s="19"/>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5"/>
      <c r="BT67" s="40"/>
      <c r="BU67" s="40"/>
      <c r="BV67" s="40"/>
      <c r="BW67" s="40"/>
      <c r="BX67" s="40"/>
      <c r="BY67" s="45"/>
      <c r="BZ67" s="45"/>
      <c r="CA67" s="45"/>
      <c r="CB67" s="45"/>
      <c r="CC67" s="45"/>
      <c r="CD67" s="45"/>
      <c r="CE67" s="45"/>
      <c r="CF67" s="45"/>
      <c r="CG67" s="45"/>
      <c r="CH67" s="45"/>
      <c r="CI67" s="45"/>
      <c r="CJ67" s="45"/>
      <c r="CK67" s="45"/>
      <c r="CL67" s="45"/>
      <c r="CM67" s="45"/>
      <c r="CN67" s="45"/>
      <c r="CO67" s="45"/>
      <c r="CP67" s="45"/>
    </row>
    <row r="68" spans="1:94" s="44" customFormat="1" ht="12.75" outlineLevel="1">
      <c r="A68" s="22"/>
      <c r="B68" s="49" t="s">
        <v>41</v>
      </c>
      <c r="C68" s="40">
        <f>+BR68</f>
        <v>505762</v>
      </c>
      <c r="D68" s="40">
        <f>+BF68</f>
        <v>334347</v>
      </c>
      <c r="E68" s="40">
        <f>+C68-D68</f>
        <v>171415</v>
      </c>
      <c r="F68" s="46">
        <f>+E68/D68</f>
        <v>0.5126859221108608</v>
      </c>
      <c r="G68" s="35"/>
      <c r="H68" s="40">
        <f>+AT68</f>
        <v>214813</v>
      </c>
      <c r="I68" s="40">
        <f>+D68-H68</f>
        <v>119534</v>
      </c>
      <c r="J68" s="46">
        <f>+(I68/H68)</f>
        <v>0.5564560804048172</v>
      </c>
      <c r="K68" s="19"/>
      <c r="L68" s="40">
        <v>104905</v>
      </c>
      <c r="M68" s="40">
        <v>109865</v>
      </c>
      <c r="N68" s="40">
        <v>116433</v>
      </c>
      <c r="O68" s="40">
        <v>122684</v>
      </c>
      <c r="P68" s="40">
        <v>128050</v>
      </c>
      <c r="Q68" s="40">
        <v>135902</v>
      </c>
      <c r="R68" s="40">
        <v>141735</v>
      </c>
      <c r="S68" s="40">
        <v>147737</v>
      </c>
      <c r="T68" s="40">
        <v>149796</v>
      </c>
      <c r="U68" s="40">
        <v>143254</v>
      </c>
      <c r="V68" s="40">
        <v>145095</v>
      </c>
      <c r="W68" s="40">
        <v>148438</v>
      </c>
      <c r="X68" s="40">
        <v>149923</v>
      </c>
      <c r="Y68" s="40">
        <v>151508</v>
      </c>
      <c r="Z68" s="40">
        <v>154469</v>
      </c>
      <c r="AA68" s="40">
        <v>157023</v>
      </c>
      <c r="AB68" s="40">
        <v>159261</v>
      </c>
      <c r="AC68" s="40">
        <v>159054</v>
      </c>
      <c r="AD68" s="40">
        <v>162555</v>
      </c>
      <c r="AE68" s="40">
        <v>160385</v>
      </c>
      <c r="AF68" s="40">
        <v>162041</v>
      </c>
      <c r="AG68" s="40">
        <v>162707</v>
      </c>
      <c r="AH68" s="40">
        <v>163448</v>
      </c>
      <c r="AI68" s="40">
        <v>164227</v>
      </c>
      <c r="AJ68" s="40">
        <v>192050</v>
      </c>
      <c r="AK68" s="40">
        <v>192607</v>
      </c>
      <c r="AL68" s="40">
        <v>193909</v>
      </c>
      <c r="AM68" s="40">
        <v>195766</v>
      </c>
      <c r="AN68" s="40">
        <v>195266</v>
      </c>
      <c r="AO68" s="40">
        <v>213578</v>
      </c>
      <c r="AP68" s="40">
        <v>206778</v>
      </c>
      <c r="AQ68" s="40">
        <v>209572</v>
      </c>
      <c r="AR68" s="40">
        <v>211353</v>
      </c>
      <c r="AS68" s="40">
        <v>213090</v>
      </c>
      <c r="AT68" s="40">
        <v>214813</v>
      </c>
      <c r="AU68" s="40">
        <v>217168</v>
      </c>
      <c r="AV68" s="40">
        <v>223138</v>
      </c>
      <c r="AW68" s="40">
        <v>229650</v>
      </c>
      <c r="AX68" s="40">
        <v>234705</v>
      </c>
      <c r="AY68" s="40">
        <v>239915</v>
      </c>
      <c r="AZ68" s="40">
        <v>246485</v>
      </c>
      <c r="BA68" s="40">
        <v>254257</v>
      </c>
      <c r="BB68" s="40">
        <v>263957</v>
      </c>
      <c r="BC68" s="40">
        <v>279638</v>
      </c>
      <c r="BD68" s="40">
        <v>285981</v>
      </c>
      <c r="BE68" s="40">
        <v>313170</v>
      </c>
      <c r="BF68" s="40">
        <v>334347</v>
      </c>
      <c r="BG68" s="40">
        <v>349347</v>
      </c>
      <c r="BH68" s="40">
        <v>372223</v>
      </c>
      <c r="BI68" s="40">
        <v>393508</v>
      </c>
      <c r="BJ68" s="40">
        <v>414814</v>
      </c>
      <c r="BK68" s="40">
        <v>437099</v>
      </c>
      <c r="BL68" s="40">
        <v>455749</v>
      </c>
      <c r="BM68" s="40">
        <v>467672</v>
      </c>
      <c r="BN68" s="40">
        <v>479964</v>
      </c>
      <c r="BO68" s="40">
        <v>492471</v>
      </c>
      <c r="BP68" s="40">
        <v>507530</v>
      </c>
      <c r="BQ68" s="40">
        <v>505762</v>
      </c>
      <c r="BR68" s="40">
        <v>505762</v>
      </c>
      <c r="BS68" s="45"/>
      <c r="BT68" s="40">
        <f>+AVERAGE(L68:W68)</f>
        <v>132824.5</v>
      </c>
      <c r="BU68" s="40">
        <f>+AVERAGE(X68:AI68)</f>
        <v>158883.41666666666</v>
      </c>
      <c r="BV68" s="40">
        <f>+AVERAGE(AJ68:AU68)</f>
        <v>204662.5</v>
      </c>
      <c r="BW68" s="40">
        <f>+AVERAGE(AV68:BG68)</f>
        <v>271215.8333333333</v>
      </c>
      <c r="BX68" s="40">
        <f>+AVERAGE(BH68:BR68)</f>
        <v>457504.9090909091</v>
      </c>
      <c r="BY68" s="45"/>
      <c r="BZ68" s="45"/>
      <c r="CA68" s="45"/>
      <c r="CB68" s="45"/>
      <c r="CC68" s="45"/>
      <c r="CD68" s="45"/>
      <c r="CE68" s="45"/>
      <c r="CF68" s="45"/>
      <c r="CG68" s="45"/>
      <c r="CH68" s="45"/>
      <c r="CI68" s="45"/>
      <c r="CJ68" s="45"/>
      <c r="CK68" s="45"/>
      <c r="CL68" s="45"/>
      <c r="CM68" s="45"/>
      <c r="CN68" s="45"/>
      <c r="CO68" s="45"/>
      <c r="CP68" s="45"/>
    </row>
    <row r="69" spans="1:94" s="44" customFormat="1" ht="12.75" outlineLevel="1">
      <c r="A69" s="22"/>
      <c r="B69" s="15"/>
      <c r="C69" s="40"/>
      <c r="D69" s="40"/>
      <c r="E69" s="40"/>
      <c r="F69" s="46"/>
      <c r="G69" s="35"/>
      <c r="H69" s="40"/>
      <c r="I69" s="40"/>
      <c r="J69" s="46"/>
      <c r="K69" s="19"/>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5"/>
      <c r="BT69" s="40"/>
      <c r="BU69" s="40"/>
      <c r="BV69" s="40"/>
      <c r="BW69" s="40"/>
      <c r="BX69" s="40"/>
      <c r="BY69" s="45"/>
      <c r="BZ69" s="45"/>
      <c r="CA69" s="45"/>
      <c r="CB69" s="45"/>
      <c r="CC69" s="45"/>
      <c r="CD69" s="45"/>
      <c r="CE69" s="45"/>
      <c r="CF69" s="45"/>
      <c r="CG69" s="45"/>
      <c r="CH69" s="45"/>
      <c r="CI69" s="45"/>
      <c r="CJ69" s="45"/>
      <c r="CK69" s="45"/>
      <c r="CL69" s="45"/>
      <c r="CM69" s="45"/>
      <c r="CN69" s="45"/>
      <c r="CO69" s="45"/>
      <c r="CP69" s="45"/>
    </row>
    <row r="70" spans="1:94" s="44" customFormat="1" ht="12.75" outlineLevel="1">
      <c r="A70" s="22"/>
      <c r="B70" s="49" t="s">
        <v>35</v>
      </c>
      <c r="C70" s="40">
        <f>+BR70</f>
        <v>78428</v>
      </c>
      <c r="D70" s="40">
        <f>+BF70</f>
        <v>20555</v>
      </c>
      <c r="E70" s="40">
        <f>+C70-D70</f>
        <v>57873</v>
      </c>
      <c r="F70" s="46">
        <f>+E70/D70</f>
        <v>2.815519338360496</v>
      </c>
      <c r="G70" s="35"/>
      <c r="H70" s="40">
        <f>+AT70</f>
        <v>17774</v>
      </c>
      <c r="I70" s="40">
        <f>+D70-H70</f>
        <v>2781</v>
      </c>
      <c r="J70" s="46">
        <f>+(I70/H70)</f>
        <v>0.156464498705975</v>
      </c>
      <c r="K70" s="19"/>
      <c r="L70" s="47" t="s">
        <v>40</v>
      </c>
      <c r="M70" s="47" t="s">
        <v>40</v>
      </c>
      <c r="N70" s="47" t="s">
        <v>40</v>
      </c>
      <c r="O70" s="47" t="s">
        <v>40</v>
      </c>
      <c r="P70" s="47" t="s">
        <v>40</v>
      </c>
      <c r="Q70" s="47" t="s">
        <v>40</v>
      </c>
      <c r="R70" s="47" t="s">
        <v>40</v>
      </c>
      <c r="S70" s="47" t="s">
        <v>40</v>
      </c>
      <c r="T70" s="47" t="s">
        <v>40</v>
      </c>
      <c r="U70" s="47" t="s">
        <v>40</v>
      </c>
      <c r="V70" s="47" t="s">
        <v>40</v>
      </c>
      <c r="W70" s="47" t="s">
        <v>40</v>
      </c>
      <c r="X70" s="47" t="s">
        <v>40</v>
      </c>
      <c r="Y70" s="47" t="s">
        <v>40</v>
      </c>
      <c r="Z70" s="47" t="s">
        <v>40</v>
      </c>
      <c r="AA70" s="47" t="s">
        <v>40</v>
      </c>
      <c r="AB70" s="47" t="s">
        <v>40</v>
      </c>
      <c r="AC70" s="47" t="s">
        <v>40</v>
      </c>
      <c r="AD70" s="47" t="s">
        <v>40</v>
      </c>
      <c r="AE70" s="47" t="s">
        <v>40</v>
      </c>
      <c r="AF70" s="40">
        <v>18448</v>
      </c>
      <c r="AG70" s="40">
        <v>18080</v>
      </c>
      <c r="AH70" s="40">
        <v>17880</v>
      </c>
      <c r="AI70" s="40">
        <v>17948</v>
      </c>
      <c r="AJ70" s="40">
        <v>17523</v>
      </c>
      <c r="AK70" s="40">
        <v>17900</v>
      </c>
      <c r="AL70" s="40">
        <v>18432</v>
      </c>
      <c r="AM70" s="40">
        <v>18431</v>
      </c>
      <c r="AN70" s="40">
        <v>18066</v>
      </c>
      <c r="AO70" s="40">
        <v>18133</v>
      </c>
      <c r="AP70" s="40">
        <v>18136</v>
      </c>
      <c r="AQ70" s="40">
        <v>18101</v>
      </c>
      <c r="AR70" s="40">
        <v>18089</v>
      </c>
      <c r="AS70" s="40">
        <v>18037</v>
      </c>
      <c r="AT70" s="40">
        <v>17774</v>
      </c>
      <c r="AU70" s="40">
        <v>17784</v>
      </c>
      <c r="AV70" s="40">
        <v>17624</v>
      </c>
      <c r="AW70" s="40">
        <v>17433</v>
      </c>
      <c r="AX70" s="40">
        <v>17875</v>
      </c>
      <c r="AY70" s="40">
        <v>17843</v>
      </c>
      <c r="AZ70" s="40">
        <v>18002</v>
      </c>
      <c r="BA70" s="40">
        <v>18180</v>
      </c>
      <c r="BB70" s="40">
        <v>18430</v>
      </c>
      <c r="BC70" s="40">
        <v>19259</v>
      </c>
      <c r="BD70" s="40">
        <v>19827</v>
      </c>
      <c r="BE70" s="40">
        <v>20419</v>
      </c>
      <c r="BF70" s="40">
        <v>20555</v>
      </c>
      <c r="BG70" s="40">
        <v>26455</v>
      </c>
      <c r="BH70" s="40">
        <v>29838</v>
      </c>
      <c r="BI70" s="40">
        <v>30465</v>
      </c>
      <c r="BJ70" s="40">
        <v>35367</v>
      </c>
      <c r="BK70" s="40">
        <v>43300</v>
      </c>
      <c r="BL70" s="40">
        <v>53507</v>
      </c>
      <c r="BM70" s="40">
        <v>59365</v>
      </c>
      <c r="BN70" s="40">
        <v>64054</v>
      </c>
      <c r="BO70" s="40">
        <v>67938</v>
      </c>
      <c r="BP70" s="40">
        <v>70966</v>
      </c>
      <c r="BQ70" s="40">
        <v>78428</v>
      </c>
      <c r="BR70" s="40">
        <v>78428</v>
      </c>
      <c r="BS70" s="45"/>
      <c r="BT70" s="40" t="s">
        <v>40</v>
      </c>
      <c r="BU70" s="40">
        <f>+AVERAGE(X70:AI70)</f>
        <v>18089</v>
      </c>
      <c r="BV70" s="40">
        <f>+AVERAGE(AJ70:AU70)</f>
        <v>18033.833333333332</v>
      </c>
      <c r="BW70" s="40">
        <f>+AVERAGE(AV70:BG70)</f>
        <v>19325.166666666668</v>
      </c>
      <c r="BX70" s="40">
        <f>+AVERAGE(BH70:BR70)</f>
        <v>55605.09090909091</v>
      </c>
      <c r="BY70" s="45"/>
      <c r="BZ70" s="45"/>
      <c r="CA70" s="45"/>
      <c r="CB70" s="45"/>
      <c r="CC70" s="45"/>
      <c r="CD70" s="45"/>
      <c r="CE70" s="45"/>
      <c r="CF70" s="45"/>
      <c r="CG70" s="45"/>
      <c r="CH70" s="45"/>
      <c r="CI70" s="45"/>
      <c r="CJ70" s="45"/>
      <c r="CK70" s="45"/>
      <c r="CL70" s="45"/>
      <c r="CM70" s="45"/>
      <c r="CN70" s="45"/>
      <c r="CO70" s="45"/>
      <c r="CP70" s="45"/>
    </row>
    <row r="71" spans="1:94" s="44" customFormat="1" ht="12.75" outlineLevel="1">
      <c r="A71" s="22"/>
      <c r="B71" s="15"/>
      <c r="C71" s="40"/>
      <c r="D71" s="40"/>
      <c r="E71" s="40"/>
      <c r="F71" s="46"/>
      <c r="G71" s="35"/>
      <c r="H71" s="40"/>
      <c r="I71" s="40"/>
      <c r="J71" s="46"/>
      <c r="K71" s="19"/>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5"/>
      <c r="BT71" s="40"/>
      <c r="BU71" s="40"/>
      <c r="BV71" s="40"/>
      <c r="BW71" s="40"/>
      <c r="BX71" s="40"/>
      <c r="BY71" s="45"/>
      <c r="BZ71" s="45"/>
      <c r="CA71" s="45"/>
      <c r="CB71" s="45"/>
      <c r="CC71" s="45"/>
      <c r="CD71" s="45"/>
      <c r="CE71" s="45"/>
      <c r="CF71" s="45"/>
      <c r="CG71" s="45"/>
      <c r="CH71" s="45"/>
      <c r="CI71" s="45"/>
      <c r="CJ71" s="45"/>
      <c r="CK71" s="45"/>
      <c r="CL71" s="45"/>
      <c r="CM71" s="45"/>
      <c r="CN71" s="45"/>
      <c r="CO71" s="45"/>
      <c r="CP71" s="45"/>
    </row>
    <row r="72" spans="1:94" s="44" customFormat="1" ht="12.75" outlineLevel="1">
      <c r="A72" s="22"/>
      <c r="B72" s="49" t="s">
        <v>48</v>
      </c>
      <c r="C72" s="40">
        <f>+BR72</f>
        <v>510102</v>
      </c>
      <c r="D72" s="40">
        <f>+BF72</f>
        <v>383448</v>
      </c>
      <c r="E72" s="40">
        <f>+C72-D72</f>
        <v>126654</v>
      </c>
      <c r="F72" s="46">
        <f>+E72/D72</f>
        <v>0.33030293546973777</v>
      </c>
      <c r="G72" s="35"/>
      <c r="H72" s="40">
        <f>+AT72</f>
        <v>363452</v>
      </c>
      <c r="I72" s="40">
        <f>+D72-H72</f>
        <v>19996</v>
      </c>
      <c r="J72" s="46">
        <f>+(I72/H72)</f>
        <v>0.05501689356503747</v>
      </c>
      <c r="K72" s="19"/>
      <c r="L72" s="40">
        <v>287449</v>
      </c>
      <c r="M72" s="40">
        <v>283572</v>
      </c>
      <c r="N72" s="40">
        <v>289568</v>
      </c>
      <c r="O72" s="40">
        <v>293507</v>
      </c>
      <c r="P72" s="40">
        <v>292540</v>
      </c>
      <c r="Q72" s="40">
        <v>293408</v>
      </c>
      <c r="R72" s="40">
        <v>295804</v>
      </c>
      <c r="S72" s="40">
        <v>296330</v>
      </c>
      <c r="T72" s="40">
        <v>296997</v>
      </c>
      <c r="U72" s="40">
        <v>300197</v>
      </c>
      <c r="V72" s="40">
        <v>299536</v>
      </c>
      <c r="W72" s="40">
        <v>302358</v>
      </c>
      <c r="X72" s="40">
        <v>321099</v>
      </c>
      <c r="Y72" s="40">
        <v>322454</v>
      </c>
      <c r="Z72" s="40">
        <v>320176</v>
      </c>
      <c r="AA72" s="40">
        <v>321749</v>
      </c>
      <c r="AB72" s="40">
        <v>323585</v>
      </c>
      <c r="AC72" s="40">
        <v>324280</v>
      </c>
      <c r="AD72" s="40">
        <v>324866</v>
      </c>
      <c r="AE72" s="40">
        <v>323521</v>
      </c>
      <c r="AF72" s="40">
        <v>326783</v>
      </c>
      <c r="AG72" s="40">
        <v>327550</v>
      </c>
      <c r="AH72" s="40">
        <v>331201</v>
      </c>
      <c r="AI72" s="40">
        <v>351844</v>
      </c>
      <c r="AJ72" s="40">
        <v>353190</v>
      </c>
      <c r="AK72" s="40">
        <v>352630</v>
      </c>
      <c r="AL72" s="40">
        <v>351208</v>
      </c>
      <c r="AM72" s="40">
        <v>359604</v>
      </c>
      <c r="AN72" s="40">
        <v>364142</v>
      </c>
      <c r="AO72" s="40">
        <v>351358</v>
      </c>
      <c r="AP72" s="40">
        <v>352729</v>
      </c>
      <c r="AQ72" s="40">
        <v>353727</v>
      </c>
      <c r="AR72" s="40">
        <v>354642</v>
      </c>
      <c r="AS72" s="40">
        <v>360001</v>
      </c>
      <c r="AT72" s="40">
        <v>363452</v>
      </c>
      <c r="AU72" s="40">
        <v>367546</v>
      </c>
      <c r="AV72" s="40">
        <v>371029</v>
      </c>
      <c r="AW72" s="40">
        <v>368408</v>
      </c>
      <c r="AX72" s="40">
        <v>367724</v>
      </c>
      <c r="AY72" s="40">
        <v>368016</v>
      </c>
      <c r="AZ72" s="40">
        <v>363969</v>
      </c>
      <c r="BA72" s="40">
        <v>364333</v>
      </c>
      <c r="BB72" s="40">
        <v>375582</v>
      </c>
      <c r="BC72" s="40">
        <v>377585</v>
      </c>
      <c r="BD72" s="40">
        <v>375852</v>
      </c>
      <c r="BE72" s="40">
        <v>380642</v>
      </c>
      <c r="BF72" s="40">
        <v>383448</v>
      </c>
      <c r="BG72" s="40">
        <v>389890</v>
      </c>
      <c r="BH72" s="40">
        <v>391957</v>
      </c>
      <c r="BI72" s="40">
        <v>393386</v>
      </c>
      <c r="BJ72" s="40">
        <v>393729</v>
      </c>
      <c r="BK72" s="40">
        <v>442121</v>
      </c>
      <c r="BL72" s="40">
        <v>448330</v>
      </c>
      <c r="BM72" s="40">
        <v>453649</v>
      </c>
      <c r="BN72" s="40">
        <v>496591</v>
      </c>
      <c r="BO72" s="40">
        <v>501696</v>
      </c>
      <c r="BP72" s="40">
        <v>512218</v>
      </c>
      <c r="BQ72" s="40">
        <v>510102</v>
      </c>
      <c r="BR72" s="40">
        <v>510102</v>
      </c>
      <c r="BS72" s="45"/>
      <c r="BT72" s="40">
        <f>+AVERAGE(L72:W72)</f>
        <v>294272.1666666667</v>
      </c>
      <c r="BU72" s="40">
        <f>+AVERAGE(X72:AI72)</f>
        <v>326592.3333333333</v>
      </c>
      <c r="BV72" s="40">
        <f>+AVERAGE(AJ72:AU72)</f>
        <v>357019.0833333333</v>
      </c>
      <c r="BW72" s="40">
        <f>+AVERAGE(AV72:BG72)</f>
        <v>373873.1666666667</v>
      </c>
      <c r="BX72" s="40">
        <f>+AVERAGE(BH72:BR72)</f>
        <v>459443.7272727273</v>
      </c>
      <c r="BY72" s="45"/>
      <c r="BZ72" s="45"/>
      <c r="CA72" s="45"/>
      <c r="CB72" s="45"/>
      <c r="CC72" s="45"/>
      <c r="CD72" s="45"/>
      <c r="CE72" s="45"/>
      <c r="CF72" s="45"/>
      <c r="CG72" s="45"/>
      <c r="CH72" s="45"/>
      <c r="CI72" s="45"/>
      <c r="CJ72" s="45"/>
      <c r="CK72" s="45"/>
      <c r="CL72" s="45"/>
      <c r="CM72" s="45"/>
      <c r="CN72" s="45"/>
      <c r="CO72" s="45"/>
      <c r="CP72" s="45"/>
    </row>
    <row r="73" spans="1:94" s="44" customFormat="1" ht="12.75" outlineLevel="1">
      <c r="A73" s="22"/>
      <c r="B73" s="15"/>
      <c r="C73" s="40"/>
      <c r="D73" s="40"/>
      <c r="E73" s="40"/>
      <c r="F73" s="46"/>
      <c r="G73" s="35"/>
      <c r="H73" s="40"/>
      <c r="I73" s="40"/>
      <c r="J73" s="46"/>
      <c r="K73" s="19"/>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45"/>
      <c r="BT73" s="40"/>
      <c r="BU73" s="40"/>
      <c r="BV73" s="40"/>
      <c r="BW73" s="40"/>
      <c r="BX73" s="40"/>
      <c r="BY73" s="45"/>
      <c r="BZ73" s="45"/>
      <c r="CA73" s="45"/>
      <c r="CB73" s="45"/>
      <c r="CC73" s="45"/>
      <c r="CD73" s="45"/>
      <c r="CE73" s="45"/>
      <c r="CF73" s="45"/>
      <c r="CG73" s="45"/>
      <c r="CH73" s="45"/>
      <c r="CI73" s="45"/>
      <c r="CJ73" s="45"/>
      <c r="CK73" s="45"/>
      <c r="CL73" s="45"/>
      <c r="CM73" s="45"/>
      <c r="CN73" s="45"/>
      <c r="CO73" s="45"/>
      <c r="CP73" s="45"/>
    </row>
    <row r="74" spans="1:94" s="44" customFormat="1" ht="12.75" outlineLevel="1">
      <c r="A74" s="22"/>
      <c r="B74" s="49" t="s">
        <v>47</v>
      </c>
      <c r="C74" s="47">
        <f>+BR74</f>
        <v>75.86333333333333</v>
      </c>
      <c r="D74" s="47">
        <f>+BF74</f>
        <v>77.73</v>
      </c>
      <c r="E74" s="47">
        <f>+C74-D74</f>
        <v>-1.8666666666666742</v>
      </c>
      <c r="F74" s="46">
        <f>+E74/D74</f>
        <v>-0.024014751919036077</v>
      </c>
      <c r="G74" s="35"/>
      <c r="H74" s="47">
        <f>+AT74</f>
        <v>72.7696317490228</v>
      </c>
      <c r="I74" s="47">
        <f>+D74-H74</f>
        <v>4.960368250977197</v>
      </c>
      <c r="J74" s="46">
        <f>+(I74/H74)</f>
        <v>0.06816536145304608</v>
      </c>
      <c r="K74" s="19"/>
      <c r="L74" s="35">
        <v>125.76299385660553</v>
      </c>
      <c r="M74" s="35">
        <v>123.38118818511009</v>
      </c>
      <c r="N74" s="35">
        <v>128.63980831010446</v>
      </c>
      <c r="O74" s="35">
        <v>127.72432369718607</v>
      </c>
      <c r="P74" s="35">
        <v>133.74436602669218</v>
      </c>
      <c r="Q74" s="35">
        <v>131.04967675376673</v>
      </c>
      <c r="R74" s="35">
        <v>137.90620663261063</v>
      </c>
      <c r="S74" s="35">
        <v>134.044924429051</v>
      </c>
      <c r="T74" s="35">
        <v>104.95388891574196</v>
      </c>
      <c r="U74" s="35">
        <v>131.23157377793368</v>
      </c>
      <c r="V74" s="35">
        <v>125.785234428633</v>
      </c>
      <c r="W74" s="35">
        <v>122.55739022645486</v>
      </c>
      <c r="X74" s="35">
        <v>115.59155905055883</v>
      </c>
      <c r="Y74" s="35">
        <v>108.50111138244509</v>
      </c>
      <c r="Z74" s="35">
        <v>120.17426054621313</v>
      </c>
      <c r="AA74" s="35">
        <v>116.58665588867068</v>
      </c>
      <c r="AB74" s="35">
        <v>136.3135369570113</v>
      </c>
      <c r="AC74" s="35">
        <v>113.29463731436363</v>
      </c>
      <c r="AD74" s="35">
        <v>121.73788662029247</v>
      </c>
      <c r="AE74" s="35">
        <v>113.1460828734179</v>
      </c>
      <c r="AF74" s="35">
        <v>106.15687915047512</v>
      </c>
      <c r="AG74" s="35">
        <v>119.72759643897076</v>
      </c>
      <c r="AH74" s="35">
        <v>116.69128257114865</v>
      </c>
      <c r="AI74" s="35">
        <v>109.2792512862533</v>
      </c>
      <c r="AJ74" s="35">
        <v>89.01789275977406</v>
      </c>
      <c r="AK74" s="35">
        <v>85.3386381229898</v>
      </c>
      <c r="AL74" s="35">
        <v>92.90869059495775</v>
      </c>
      <c r="AM74" s="35">
        <v>99.6389360537282</v>
      </c>
      <c r="AN74" s="35">
        <v>37.546819770800674</v>
      </c>
      <c r="AO74" s="35">
        <v>71.18436357472464</v>
      </c>
      <c r="AP74" s="35">
        <v>90.08098255596089</v>
      </c>
      <c r="AQ74" s="35">
        <v>83.44790608761798</v>
      </c>
      <c r="AR74" s="35">
        <v>77.93473731734527</v>
      </c>
      <c r="AS74" s="35">
        <v>74.58589184004077</v>
      </c>
      <c r="AT74" s="35">
        <v>72.7696317490228</v>
      </c>
      <c r="AU74" s="35">
        <v>74.52575297893529</v>
      </c>
      <c r="AV74" s="35">
        <v>79.05449464304013</v>
      </c>
      <c r="AW74" s="35">
        <v>78.0029009177396</v>
      </c>
      <c r="AX74" s="35">
        <v>92.81359737279921</v>
      </c>
      <c r="AY74" s="35">
        <v>83.87140212950291</v>
      </c>
      <c r="AZ74" s="35">
        <v>87.19901095835762</v>
      </c>
      <c r="BA74" s="35">
        <v>84.42</v>
      </c>
      <c r="BB74" s="35">
        <v>84.15</v>
      </c>
      <c r="BC74" s="35">
        <v>79.91</v>
      </c>
      <c r="BD74" s="35">
        <v>74.6</v>
      </c>
      <c r="BE74" s="35">
        <v>79.22</v>
      </c>
      <c r="BF74" s="35">
        <v>77.73</v>
      </c>
      <c r="BG74" s="35">
        <v>81.63</v>
      </c>
      <c r="BH74" s="35">
        <v>72.98</v>
      </c>
      <c r="BI74" s="35">
        <v>67.85</v>
      </c>
      <c r="BJ74" s="35">
        <v>78.07</v>
      </c>
      <c r="BK74" s="35">
        <v>78.29</v>
      </c>
      <c r="BL74" s="35">
        <v>80.82</v>
      </c>
      <c r="BM74" s="35">
        <v>80.58</v>
      </c>
      <c r="BN74" s="35">
        <v>75.47</v>
      </c>
      <c r="BO74" s="35">
        <v>71.71</v>
      </c>
      <c r="BP74" s="35">
        <v>83.42</v>
      </c>
      <c r="BQ74" s="35">
        <v>72.46</v>
      </c>
      <c r="BR74" s="35">
        <v>75.86333333333333</v>
      </c>
      <c r="BS74" s="45"/>
      <c r="BT74" s="40">
        <f>+AVERAGE(L74:W74)</f>
        <v>127.23179793665751</v>
      </c>
      <c r="BU74" s="40">
        <f>+AVERAGE(X74:AI74)</f>
        <v>116.43339500665174</v>
      </c>
      <c r="BV74" s="40">
        <f>+AVERAGE(AJ74:AU74)</f>
        <v>79.08168695049152</v>
      </c>
      <c r="BW74" s="40">
        <f>+AVERAGE(AV74:BG74)</f>
        <v>81.88345050178663</v>
      </c>
      <c r="BX74" s="40">
        <f>+AVERAGE(BH74:BR74)</f>
        <v>76.13757575757576</v>
      </c>
      <c r="BY74" s="45"/>
      <c r="BZ74" s="45"/>
      <c r="CA74" s="45"/>
      <c r="CB74" s="45"/>
      <c r="CC74" s="45"/>
      <c r="CD74" s="45"/>
      <c r="CE74" s="45"/>
      <c r="CF74" s="45"/>
      <c r="CG74" s="45"/>
      <c r="CH74" s="45"/>
      <c r="CI74" s="45"/>
      <c r="CJ74" s="45"/>
      <c r="CK74" s="45"/>
      <c r="CL74" s="45"/>
      <c r="CM74" s="45"/>
      <c r="CN74" s="45"/>
      <c r="CO74" s="45"/>
      <c r="CP74" s="45"/>
    </row>
    <row r="75" spans="1:94" s="44" customFormat="1" ht="12.75" outlineLevel="1">
      <c r="A75" s="22"/>
      <c r="B75" s="15"/>
      <c r="C75" s="47"/>
      <c r="D75" s="47"/>
      <c r="E75" s="47"/>
      <c r="F75" s="46"/>
      <c r="G75" s="35"/>
      <c r="H75" s="47"/>
      <c r="I75" s="47"/>
      <c r="J75" s="46"/>
      <c r="K75" s="19"/>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45"/>
      <c r="BT75" s="40"/>
      <c r="BU75" s="40"/>
      <c r="BV75" s="40"/>
      <c r="BW75" s="40"/>
      <c r="BX75" s="40"/>
      <c r="BY75" s="45"/>
      <c r="BZ75" s="45"/>
      <c r="CA75" s="45"/>
      <c r="CB75" s="45"/>
      <c r="CC75" s="45"/>
      <c r="CD75" s="45"/>
      <c r="CE75" s="45"/>
      <c r="CF75" s="45"/>
      <c r="CG75" s="45"/>
      <c r="CH75" s="45"/>
      <c r="CI75" s="45"/>
      <c r="CJ75" s="45"/>
      <c r="CK75" s="45"/>
      <c r="CL75" s="45"/>
      <c r="CM75" s="45"/>
      <c r="CN75" s="45"/>
      <c r="CO75" s="45"/>
      <c r="CP75" s="45"/>
    </row>
    <row r="76" spans="1:94" s="44" customFormat="1" ht="12.75" outlineLevel="1">
      <c r="A76" s="22"/>
      <c r="B76" s="49" t="s">
        <v>29</v>
      </c>
      <c r="C76" s="47">
        <f>+BR76</f>
        <v>27.89</v>
      </c>
      <c r="D76" s="47">
        <f>+BF76</f>
        <v>27.59</v>
      </c>
      <c r="E76" s="47">
        <f>+C76-D76</f>
        <v>0.3000000000000007</v>
      </c>
      <c r="F76" s="46">
        <f>+E76/D76</f>
        <v>0.010873504893077228</v>
      </c>
      <c r="G76" s="35"/>
      <c r="H76" s="47">
        <f>+AT76</f>
        <v>30.012602139338455</v>
      </c>
      <c r="I76" s="47">
        <f>+D76-H76</f>
        <v>-2.422602139338455</v>
      </c>
      <c r="J76" s="46">
        <f>+(I76/H76)</f>
        <v>-0.08071949669979048</v>
      </c>
      <c r="K76" s="19"/>
      <c r="L76" s="40">
        <v>34.64573928005587</v>
      </c>
      <c r="M76" s="40">
        <v>32.46263990868667</v>
      </c>
      <c r="N76" s="40">
        <v>34.95310965907167</v>
      </c>
      <c r="O76" s="40">
        <v>39.00180388002794</v>
      </c>
      <c r="P76" s="40">
        <v>42.66014726956309</v>
      </c>
      <c r="Q76" s="40">
        <v>37.18457097947574</v>
      </c>
      <c r="R76" s="40">
        <v>42.2480739471188</v>
      </c>
      <c r="S76" s="40">
        <v>45.92315512688755</v>
      </c>
      <c r="T76" s="40">
        <v>31.383085326023163</v>
      </c>
      <c r="U76" s="40">
        <v>38.217559787879395</v>
      </c>
      <c r="V76" s="40">
        <v>37.63556592612073</v>
      </c>
      <c r="W76" s="40">
        <v>32.60640839417454</v>
      </c>
      <c r="X76" s="40">
        <v>33.89486446554858</v>
      </c>
      <c r="Y76" s="40">
        <v>31.09837775265315</v>
      </c>
      <c r="Z76" s="40">
        <v>33.644016674643886</v>
      </c>
      <c r="AA76" s="40">
        <v>32.574822743796545</v>
      </c>
      <c r="AB76" s="40">
        <v>40.475503462575276</v>
      </c>
      <c r="AC76" s="40">
        <v>34.56403872715611</v>
      </c>
      <c r="AD76" s="40">
        <v>39.42077711696251</v>
      </c>
      <c r="AE76" s="40">
        <v>40.044282101112685</v>
      </c>
      <c r="AF76" s="40">
        <v>33.784944279704106</v>
      </c>
      <c r="AG76" s="40">
        <v>40.22832646600338</v>
      </c>
      <c r="AH76" s="40">
        <v>36.500631335040026</v>
      </c>
      <c r="AI76" s="40">
        <v>32.70080898504537</v>
      </c>
      <c r="AJ76" s="40">
        <v>30.182341665145888</v>
      </c>
      <c r="AK76" s="40">
        <v>27.84055900140615</v>
      </c>
      <c r="AL76" s="40">
        <v>29.36581980742571</v>
      </c>
      <c r="AM76" s="40">
        <v>33.533897602109064</v>
      </c>
      <c r="AN76" s="40">
        <v>25.178733331761325</v>
      </c>
      <c r="AO76" s="40">
        <v>31.569498233594956</v>
      </c>
      <c r="AP76" s="40">
        <v>34.22450730722463</v>
      </c>
      <c r="AQ76" s="40">
        <v>35.54227999657391</v>
      </c>
      <c r="AR76" s="40">
        <v>30.701509762430042</v>
      </c>
      <c r="AS76" s="40">
        <v>35.130642027299366</v>
      </c>
      <c r="AT76" s="40">
        <v>30.012602139338455</v>
      </c>
      <c r="AU76" s="40">
        <v>27.083376362122326</v>
      </c>
      <c r="AV76" s="40">
        <v>27.788407298080564</v>
      </c>
      <c r="AW76" s="40">
        <v>27.66915090726537</v>
      </c>
      <c r="AX76" s="40">
        <v>33.36894062459535</v>
      </c>
      <c r="AY76" s="40">
        <v>32.22665258198077</v>
      </c>
      <c r="AZ76" s="40">
        <v>32.44098707231728</v>
      </c>
      <c r="BA76" s="40">
        <v>31.57</v>
      </c>
      <c r="BB76" s="40">
        <v>31.71</v>
      </c>
      <c r="BC76" s="40">
        <v>31.81</v>
      </c>
      <c r="BD76" s="40">
        <v>36.17</v>
      </c>
      <c r="BE76" s="40">
        <v>30.98</v>
      </c>
      <c r="BF76" s="40">
        <v>27.59</v>
      </c>
      <c r="BG76" s="40">
        <v>30.03</v>
      </c>
      <c r="BH76" s="40">
        <v>28.08</v>
      </c>
      <c r="BI76" s="40">
        <v>24.25</v>
      </c>
      <c r="BJ76" s="40">
        <v>27.83</v>
      </c>
      <c r="BK76" s="40">
        <v>29.07</v>
      </c>
      <c r="BL76" s="40">
        <v>31.19</v>
      </c>
      <c r="BM76" s="40">
        <v>28.83</v>
      </c>
      <c r="BN76" s="40">
        <v>28.11</v>
      </c>
      <c r="BO76" s="40">
        <v>26.66</v>
      </c>
      <c r="BP76" s="40">
        <v>32.27</v>
      </c>
      <c r="BQ76" s="40">
        <v>24.74</v>
      </c>
      <c r="BR76" s="40">
        <v>27.89</v>
      </c>
      <c r="BS76" s="45"/>
      <c r="BT76" s="40">
        <f>+AVERAGE(L76:W76)</f>
        <v>37.41015495709042</v>
      </c>
      <c r="BU76" s="40">
        <f>+AVERAGE(X76:AI76)</f>
        <v>35.74428284252013</v>
      </c>
      <c r="BV76" s="40">
        <f>+AVERAGE(AJ76:AU76)</f>
        <v>30.863813936369322</v>
      </c>
      <c r="BW76" s="40">
        <f>+AVERAGE(AV76:BG76)</f>
        <v>31.112844873686612</v>
      </c>
      <c r="BX76" s="40">
        <f>+AVERAGE(BH76:BR76)</f>
        <v>28.083636363636366</v>
      </c>
      <c r="BY76" s="45"/>
      <c r="BZ76" s="45"/>
      <c r="CA76" s="45"/>
      <c r="CB76" s="45"/>
      <c r="CC76" s="45"/>
      <c r="CD76" s="45"/>
      <c r="CE76" s="45"/>
      <c r="CF76" s="45"/>
      <c r="CG76" s="45"/>
      <c r="CH76" s="45"/>
      <c r="CI76" s="45"/>
      <c r="CJ76" s="45"/>
      <c r="CK76" s="45"/>
      <c r="CL76" s="45"/>
      <c r="CM76" s="45"/>
      <c r="CN76" s="45"/>
      <c r="CO76" s="45"/>
      <c r="CP76" s="45"/>
    </row>
    <row r="77" spans="1:94" s="44" customFormat="1" ht="12.75" outlineLevel="1">
      <c r="A77" s="22"/>
      <c r="B77" s="15"/>
      <c r="C77" s="40"/>
      <c r="D77" s="40"/>
      <c r="E77" s="40"/>
      <c r="F77" s="46"/>
      <c r="G77" s="35"/>
      <c r="H77" s="40"/>
      <c r="I77" s="40"/>
      <c r="J77" s="46"/>
      <c r="K77" s="19"/>
      <c r="L77" s="40"/>
      <c r="M77" s="40"/>
      <c r="N77" s="40"/>
      <c r="O77" s="40"/>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5"/>
      <c r="BT77" s="40"/>
      <c r="BU77" s="40"/>
      <c r="BV77" s="40"/>
      <c r="BW77" s="40"/>
      <c r="BX77" s="40"/>
      <c r="BY77" s="45"/>
      <c r="BZ77" s="45"/>
      <c r="CA77" s="45"/>
      <c r="CB77" s="45"/>
      <c r="CC77" s="45"/>
      <c r="CD77" s="45"/>
      <c r="CE77" s="45"/>
      <c r="CF77" s="45"/>
      <c r="CG77" s="45"/>
      <c r="CH77" s="45"/>
      <c r="CI77" s="45"/>
      <c r="CJ77" s="45"/>
      <c r="CK77" s="45"/>
      <c r="CL77" s="45"/>
      <c r="CM77" s="45"/>
      <c r="CN77" s="45"/>
      <c r="CO77" s="45"/>
      <c r="CP77" s="45"/>
    </row>
    <row r="78" spans="1:94" ht="12.75">
      <c r="A78" s="22"/>
      <c r="B78" s="49" t="s">
        <v>30</v>
      </c>
      <c r="C78" s="46">
        <f>+BR78</f>
        <v>0.8431</v>
      </c>
      <c r="D78" s="46">
        <f>+BF78</f>
        <v>0.8367</v>
      </c>
      <c r="E78" s="47">
        <f>+C78-D78</f>
        <v>0.006399999999999961</v>
      </c>
      <c r="F78" s="46">
        <f>+E78/D78</f>
        <v>0.007649097645512084</v>
      </c>
      <c r="G78" s="35"/>
      <c r="H78" s="46">
        <f>+AT78</f>
        <v>0.8597</v>
      </c>
      <c r="I78" s="47">
        <f>+D78-H78</f>
        <v>-0.02300000000000002</v>
      </c>
      <c r="J78" s="46">
        <f>+(I78/H78)</f>
        <v>-0.02675351866930327</v>
      </c>
      <c r="L78" s="48">
        <v>0.8246</v>
      </c>
      <c r="M78" s="48">
        <v>0.8132</v>
      </c>
      <c r="N78" s="48">
        <v>0.8218</v>
      </c>
      <c r="O78" s="48">
        <v>0.832</v>
      </c>
      <c r="P78" s="48">
        <v>0.8217</v>
      </c>
      <c r="Q78" s="48">
        <v>0.8259</v>
      </c>
      <c r="R78" s="48">
        <v>0.8211</v>
      </c>
      <c r="S78" s="48">
        <v>0.8224</v>
      </c>
      <c r="T78" s="48">
        <v>0.825</v>
      </c>
      <c r="U78" s="48">
        <v>0.8291</v>
      </c>
      <c r="V78" s="48">
        <v>0.8273</v>
      </c>
      <c r="W78" s="48">
        <v>0.8404</v>
      </c>
      <c r="X78" s="48">
        <v>0.8372</v>
      </c>
      <c r="Y78" s="48">
        <v>0.8356</v>
      </c>
      <c r="Z78" s="48">
        <v>0.8414</v>
      </c>
      <c r="AA78" s="48">
        <v>0.8433</v>
      </c>
      <c r="AB78" s="48">
        <v>0.826</v>
      </c>
      <c r="AC78" s="48">
        <v>0.8505</v>
      </c>
      <c r="AD78" s="48">
        <v>0.8513</v>
      </c>
      <c r="AE78" s="48">
        <v>0.8514</v>
      </c>
      <c r="AF78" s="48">
        <v>0.85</v>
      </c>
      <c r="AG78" s="48">
        <v>0.8535</v>
      </c>
      <c r="AH78" s="48">
        <v>0.8454</v>
      </c>
      <c r="AI78" s="48">
        <v>0.8046</v>
      </c>
      <c r="AJ78" s="48">
        <v>0.8406</v>
      </c>
      <c r="AK78" s="48">
        <v>0.8452</v>
      </c>
      <c r="AL78" s="48">
        <v>0.8403</v>
      </c>
      <c r="AM78" s="48">
        <v>0.8397</v>
      </c>
      <c r="AN78" s="48">
        <v>0.9381</v>
      </c>
      <c r="AO78" s="48">
        <v>0.9039</v>
      </c>
      <c r="AP78" s="48">
        <v>0.8676</v>
      </c>
      <c r="AQ78" s="48">
        <v>0.8653</v>
      </c>
      <c r="AR78" s="48">
        <v>0.8677</v>
      </c>
      <c r="AS78" s="48">
        <v>0.865</v>
      </c>
      <c r="AT78" s="48">
        <v>0.8597</v>
      </c>
      <c r="AU78" s="48">
        <v>0.8674</v>
      </c>
      <c r="AV78" s="48">
        <v>0.8472</v>
      </c>
      <c r="AW78" s="48">
        <v>0.8377</v>
      </c>
      <c r="AX78" s="48">
        <v>0.8203</v>
      </c>
      <c r="AY78" s="48">
        <v>0.8311</v>
      </c>
      <c r="AZ78" s="48">
        <v>0.8356</v>
      </c>
      <c r="BA78" s="48">
        <v>0.838</v>
      </c>
      <c r="BB78" s="48">
        <v>0.8398</v>
      </c>
      <c r="BC78" s="48">
        <v>0.8422</v>
      </c>
      <c r="BD78" s="48">
        <v>0.8425</v>
      </c>
      <c r="BE78" s="48">
        <v>0.8418</v>
      </c>
      <c r="BF78" s="48">
        <v>0.8367</v>
      </c>
      <c r="BG78" s="48">
        <v>0.8356</v>
      </c>
      <c r="BH78" s="48">
        <v>0.8464</v>
      </c>
      <c r="BI78" s="48">
        <v>0.8369</v>
      </c>
      <c r="BJ78" s="48">
        <v>0.8434</v>
      </c>
      <c r="BK78" s="78">
        <v>0.8354</v>
      </c>
      <c r="BL78" s="78">
        <v>0.8333</v>
      </c>
      <c r="BM78" s="78">
        <v>0.8331</v>
      </c>
      <c r="BN78" s="78">
        <v>0.8372</v>
      </c>
      <c r="BO78" s="78">
        <v>0.8334</v>
      </c>
      <c r="BP78" s="78">
        <v>0.8239</v>
      </c>
      <c r="BQ78" s="78">
        <v>0.8414</v>
      </c>
      <c r="BR78" s="78">
        <v>0.8431</v>
      </c>
      <c r="BS78" s="45"/>
      <c r="BT78" s="17">
        <f>+AVERAGE(L78:W78)</f>
        <v>0.8253750000000001</v>
      </c>
      <c r="BU78" s="17">
        <f>+AVERAGE(X78:AI78)</f>
        <v>0.8408500000000001</v>
      </c>
      <c r="BV78" s="46">
        <f>+AVERAGE(AJ78:AU78)</f>
        <v>0.8667083333333334</v>
      </c>
      <c r="BW78" s="46">
        <f>+AVERAGE(AV78:BG78)</f>
        <v>0.8373750000000001</v>
      </c>
      <c r="BX78" s="46">
        <f>+AVERAGE(BH78:BR78)</f>
        <v>0.8370454545454545</v>
      </c>
      <c r="BY78" s="45"/>
      <c r="BZ78" s="45"/>
      <c r="CA78" s="45"/>
      <c r="CB78" s="45"/>
      <c r="CC78" s="45"/>
      <c r="CD78" s="45"/>
      <c r="CE78" s="45"/>
      <c r="CF78" s="45"/>
      <c r="CG78" s="45"/>
      <c r="CH78" s="45"/>
      <c r="CI78" s="45"/>
      <c r="CJ78" s="45"/>
      <c r="CK78" s="45"/>
      <c r="CL78" s="45"/>
      <c r="CM78" s="45"/>
      <c r="CN78" s="45"/>
      <c r="CO78" s="45"/>
      <c r="CP78" s="45"/>
    </row>
    <row r="79" spans="1:94" s="44" customFormat="1" ht="12.75" outlineLevel="1">
      <c r="A79" s="22"/>
      <c r="B79" s="15"/>
      <c r="C79" s="46"/>
      <c r="D79" s="46"/>
      <c r="E79" s="47"/>
      <c r="F79" s="46"/>
      <c r="G79" s="35"/>
      <c r="H79" s="46"/>
      <c r="I79" s="47"/>
      <c r="J79" s="46"/>
      <c r="K79" s="19"/>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5"/>
      <c r="BT79" s="46"/>
      <c r="BU79" s="46"/>
      <c r="BV79" s="46"/>
      <c r="BW79" s="46"/>
      <c r="BX79" s="46"/>
      <c r="BY79" s="45"/>
      <c r="BZ79" s="45"/>
      <c r="CA79" s="45"/>
      <c r="CB79" s="45"/>
      <c r="CC79" s="45"/>
      <c r="CD79" s="45"/>
      <c r="CE79" s="45"/>
      <c r="CF79" s="45"/>
      <c r="CG79" s="45"/>
      <c r="CH79" s="45"/>
      <c r="CI79" s="45"/>
      <c r="CJ79" s="45"/>
      <c r="CK79" s="45"/>
      <c r="CL79" s="45"/>
      <c r="CM79" s="45"/>
      <c r="CN79" s="45"/>
      <c r="CO79" s="45"/>
      <c r="CP79" s="45"/>
    </row>
    <row r="80" spans="1:94" ht="12.75">
      <c r="A80" s="22"/>
      <c r="B80" s="49" t="s">
        <v>46</v>
      </c>
      <c r="C80" s="40">
        <f>+BR80</f>
        <v>3170</v>
      </c>
      <c r="D80" s="40">
        <f>+BF80</f>
        <v>2983</v>
      </c>
      <c r="E80" s="33">
        <f>+C80-D80</f>
        <v>187</v>
      </c>
      <c r="F80" s="31">
        <f>+E80/D80</f>
        <v>0.06268856855514583</v>
      </c>
      <c r="G80" s="30"/>
      <c r="H80" s="33">
        <f>+AT80</f>
        <v>2729</v>
      </c>
      <c r="I80" s="33">
        <f>+D80-H80</f>
        <v>254</v>
      </c>
      <c r="J80" s="31">
        <f>+(I80/H80)</f>
        <v>0.09307438622205937</v>
      </c>
      <c r="L80" s="40">
        <v>2003</v>
      </c>
      <c r="M80" s="40">
        <v>1997</v>
      </c>
      <c r="N80" s="40">
        <v>2014</v>
      </c>
      <c r="O80" s="40">
        <v>2046</v>
      </c>
      <c r="P80" s="40">
        <v>2061</v>
      </c>
      <c r="Q80" s="40">
        <v>2076</v>
      </c>
      <c r="R80" s="40">
        <v>2124</v>
      </c>
      <c r="S80" s="40">
        <v>2174</v>
      </c>
      <c r="T80" s="40">
        <v>2207</v>
      </c>
      <c r="U80" s="40">
        <v>2226</v>
      </c>
      <c r="V80" s="40">
        <v>2264</v>
      </c>
      <c r="W80" s="40">
        <v>2283</v>
      </c>
      <c r="X80" s="40">
        <v>2289</v>
      </c>
      <c r="Y80" s="40">
        <v>2310</v>
      </c>
      <c r="Z80" s="40">
        <v>2326</v>
      </c>
      <c r="AA80" s="40">
        <v>2362</v>
      </c>
      <c r="AB80" s="40">
        <v>2379</v>
      </c>
      <c r="AC80" s="40">
        <v>2393</v>
      </c>
      <c r="AD80" s="40">
        <v>2391</v>
      </c>
      <c r="AE80" s="40">
        <v>2406</v>
      </c>
      <c r="AF80" s="40">
        <v>2407</v>
      </c>
      <c r="AG80" s="40">
        <v>2437</v>
      </c>
      <c r="AH80" s="40">
        <v>2457</v>
      </c>
      <c r="AI80" s="40">
        <v>2477</v>
      </c>
      <c r="AJ80" s="40">
        <v>2471</v>
      </c>
      <c r="AK80" s="40">
        <v>2453</v>
      </c>
      <c r="AL80" s="40">
        <v>2459</v>
      </c>
      <c r="AM80" s="40">
        <v>2457</v>
      </c>
      <c r="AN80" s="40">
        <v>2461</v>
      </c>
      <c r="AO80" s="40">
        <v>2483</v>
      </c>
      <c r="AP80" s="40">
        <v>2464</v>
      </c>
      <c r="AQ80" s="40">
        <v>2458</v>
      </c>
      <c r="AR80" s="40">
        <v>2563</v>
      </c>
      <c r="AS80" s="40">
        <v>2643</v>
      </c>
      <c r="AT80" s="40">
        <v>2729</v>
      </c>
      <c r="AU80" s="40">
        <v>2738</v>
      </c>
      <c r="AV80" s="40">
        <v>2772</v>
      </c>
      <c r="AW80" s="40">
        <v>2775</v>
      </c>
      <c r="AX80" s="40">
        <v>2795</v>
      </c>
      <c r="AY80" s="40">
        <v>2791</v>
      </c>
      <c r="AZ80" s="40">
        <v>2794</v>
      </c>
      <c r="BA80" s="40">
        <v>2793</v>
      </c>
      <c r="BB80" s="40">
        <v>2804</v>
      </c>
      <c r="BC80" s="40">
        <v>2791</v>
      </c>
      <c r="BD80" s="40">
        <v>2848</v>
      </c>
      <c r="BE80" s="40">
        <v>2906</v>
      </c>
      <c r="BF80" s="40">
        <v>2983</v>
      </c>
      <c r="BG80" s="40">
        <v>3013</v>
      </c>
      <c r="BH80" s="40">
        <v>3009</v>
      </c>
      <c r="BI80" s="40">
        <v>3012</v>
      </c>
      <c r="BJ80" s="40">
        <v>3018</v>
      </c>
      <c r="BK80" s="40">
        <v>3034</v>
      </c>
      <c r="BL80" s="40">
        <v>3016</v>
      </c>
      <c r="BM80" s="40">
        <v>3019</v>
      </c>
      <c r="BN80" s="40">
        <v>3073</v>
      </c>
      <c r="BO80" s="40">
        <v>3114</v>
      </c>
      <c r="BP80" s="40">
        <v>3129</v>
      </c>
      <c r="BQ80" s="40">
        <v>3124</v>
      </c>
      <c r="BR80" s="40">
        <v>3170</v>
      </c>
      <c r="BS80" s="45"/>
      <c r="BT80" s="23">
        <f>+AVERAGE(L80:W80)</f>
        <v>2122.9166666666665</v>
      </c>
      <c r="BU80" s="23">
        <f>+AVERAGE(X80:AI80)</f>
        <v>2386.1666666666665</v>
      </c>
      <c r="BV80" s="38">
        <f>+AVERAGE(AJ80:AU80)</f>
        <v>2531.5833333333335</v>
      </c>
      <c r="BW80" s="40">
        <f>+AVERAGE(AV80:BG80)</f>
        <v>2838.75</v>
      </c>
      <c r="BX80" s="40">
        <f>+AVERAGE(BH80:BR80)</f>
        <v>3065.2727272727275</v>
      </c>
      <c r="BY80" s="45"/>
      <c r="BZ80" s="45"/>
      <c r="CA80" s="45"/>
      <c r="CB80" s="45"/>
      <c r="CC80" s="45"/>
      <c r="CD80" s="45"/>
      <c r="CE80" s="45"/>
      <c r="CF80" s="45"/>
      <c r="CG80" s="45"/>
      <c r="CH80" s="45"/>
      <c r="CI80" s="45"/>
      <c r="CJ80" s="45"/>
      <c r="CK80" s="45"/>
      <c r="CL80" s="45"/>
      <c r="CM80" s="45"/>
      <c r="CN80" s="45"/>
      <c r="CO80" s="45"/>
      <c r="CP80" s="45"/>
    </row>
    <row r="81" spans="1:94" s="44" customFormat="1" ht="12.75">
      <c r="A81" s="22"/>
      <c r="B81" s="49"/>
      <c r="C81" s="40"/>
      <c r="D81" s="40"/>
      <c r="E81" s="40"/>
      <c r="F81" s="46"/>
      <c r="G81" s="35"/>
      <c r="H81" s="40"/>
      <c r="I81" s="40"/>
      <c r="J81" s="46"/>
      <c r="K81" s="1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5"/>
      <c r="BT81" s="40"/>
      <c r="BU81" s="40"/>
      <c r="BV81" s="40"/>
      <c r="BW81" s="40"/>
      <c r="BX81" s="40"/>
      <c r="BY81" s="45"/>
      <c r="BZ81" s="45"/>
      <c r="CA81" s="45"/>
      <c r="CB81" s="45"/>
      <c r="CC81" s="45"/>
      <c r="CD81" s="45"/>
      <c r="CE81" s="45"/>
      <c r="CF81" s="45"/>
      <c r="CG81" s="45"/>
      <c r="CH81" s="45"/>
      <c r="CI81" s="45"/>
      <c r="CJ81" s="45"/>
      <c r="CK81" s="45"/>
      <c r="CL81" s="45"/>
      <c r="CM81" s="45"/>
      <c r="CN81" s="45"/>
      <c r="CO81" s="45"/>
      <c r="CP81" s="45"/>
    </row>
    <row r="82" spans="1:76" s="44" customFormat="1" ht="12.75" outlineLevel="1">
      <c r="A82" s="24"/>
      <c r="B82" s="49" t="s">
        <v>33</v>
      </c>
      <c r="C82" s="35">
        <f>+BR82</f>
        <v>50.1375</v>
      </c>
      <c r="D82" s="35">
        <f>+BF82</f>
        <v>47.97352380952381</v>
      </c>
      <c r="E82" s="35">
        <f>+C82-D82</f>
        <v>2.163976190476191</v>
      </c>
      <c r="F82" s="46">
        <f>+E82/D82</f>
        <v>0.045107718146120294</v>
      </c>
      <c r="G82" s="35"/>
      <c r="H82" s="35">
        <f>+AT82</f>
        <v>46.5893</v>
      </c>
      <c r="I82" s="35">
        <f>+D82-H82</f>
        <v>1.3842238095238102</v>
      </c>
      <c r="J82" s="46">
        <f>+(I82/H82)</f>
        <v>0.029711195693513534</v>
      </c>
      <c r="K82" s="19"/>
      <c r="L82" s="35">
        <v>42.9692</v>
      </c>
      <c r="M82" s="35">
        <v>43.1817</v>
      </c>
      <c r="N82" s="35">
        <v>43.2189</v>
      </c>
      <c r="O82" s="35">
        <v>43.2036</v>
      </c>
      <c r="P82" s="35">
        <v>43.283304761904766</v>
      </c>
      <c r="Q82" s="35">
        <v>43.4811</v>
      </c>
      <c r="R82" s="35">
        <v>43.5749</v>
      </c>
      <c r="S82" s="35">
        <v>43.6016</v>
      </c>
      <c r="T82" s="35">
        <v>43.76516666666667</v>
      </c>
      <c r="U82" s="35">
        <v>43.9085</v>
      </c>
      <c r="V82" s="35">
        <v>44.1474</v>
      </c>
      <c r="W82" s="35">
        <v>44.2607</v>
      </c>
      <c r="X82" s="35">
        <v>44.607922222222236</v>
      </c>
      <c r="Y82" s="35">
        <v>44.8817</v>
      </c>
      <c r="Z82" s="35">
        <v>44.7524</v>
      </c>
      <c r="AA82" s="35">
        <v>44.7971238095238</v>
      </c>
      <c r="AB82" s="35">
        <v>44.8651</v>
      </c>
      <c r="AC82" s="35">
        <v>44.914857142857144</v>
      </c>
      <c r="AD82" s="35">
        <v>45.06055652173912</v>
      </c>
      <c r="AE82" s="35">
        <v>45.143261904761914</v>
      </c>
      <c r="AF82" s="35">
        <v>45.22822380952381</v>
      </c>
      <c r="AG82" s="35">
        <v>45.3339</v>
      </c>
      <c r="AH82" s="35">
        <v>45.4333</v>
      </c>
      <c r="AI82" s="35">
        <v>45.5277</v>
      </c>
      <c r="AJ82" s="35">
        <v>45.6154</v>
      </c>
      <c r="AK82" s="35">
        <v>45.7642</v>
      </c>
      <c r="AL82" s="35">
        <v>45.8094</v>
      </c>
      <c r="AM82" s="35">
        <v>45.8535</v>
      </c>
      <c r="AN82" s="35">
        <v>45.901</v>
      </c>
      <c r="AO82" s="35">
        <v>45.95412727272728</v>
      </c>
      <c r="AP82" s="35">
        <v>45.9945</v>
      </c>
      <c r="AQ82" s="35">
        <v>46.0061</v>
      </c>
      <c r="AR82" s="35">
        <v>46.17459999999999</v>
      </c>
      <c r="AS82" s="35">
        <v>46.4371</v>
      </c>
      <c r="AT82" s="35">
        <v>46.5893</v>
      </c>
      <c r="AU82" s="35">
        <v>46.6741</v>
      </c>
      <c r="AV82" s="35">
        <v>46.7828</v>
      </c>
      <c r="AW82" s="35">
        <v>47.1285</v>
      </c>
      <c r="AX82" s="35">
        <v>47.3172</v>
      </c>
      <c r="AY82" s="35">
        <v>47.3961111111111</v>
      </c>
      <c r="AZ82" s="35">
        <v>47.4402</v>
      </c>
      <c r="BA82" s="35">
        <v>47.5046</v>
      </c>
      <c r="BB82" s="35">
        <v>47.5375</v>
      </c>
      <c r="BC82" s="35">
        <v>47.58120454545454</v>
      </c>
      <c r="BD82" s="35">
        <v>47.7206</v>
      </c>
      <c r="BE82" s="35">
        <v>47.8314</v>
      </c>
      <c r="BF82" s="35">
        <v>47.97352380952381</v>
      </c>
      <c r="BG82" s="35">
        <v>48.19887</v>
      </c>
      <c r="BH82" s="35">
        <v>48.424699999999994</v>
      </c>
      <c r="BI82" s="35">
        <v>48.8367</v>
      </c>
      <c r="BJ82" s="35">
        <v>49.20291428571428</v>
      </c>
      <c r="BK82" s="35">
        <v>49.3807</v>
      </c>
      <c r="BL82" s="35">
        <v>49.4018</v>
      </c>
      <c r="BM82" s="35">
        <v>49.4161</v>
      </c>
      <c r="BN82" s="35">
        <v>49.5841</v>
      </c>
      <c r="BO82" s="35">
        <v>49.7276</v>
      </c>
      <c r="BP82" s="35">
        <v>49.8208</v>
      </c>
      <c r="BQ82" s="35">
        <v>49.977</v>
      </c>
      <c r="BR82" s="35">
        <v>50.1375</v>
      </c>
      <c r="BT82" s="35">
        <f>+AVERAGE(L82:W82)</f>
        <v>43.54967261904762</v>
      </c>
      <c r="BU82" s="35">
        <f>+AVERAGE(X82:AI82)</f>
        <v>45.045503784219</v>
      </c>
      <c r="BV82" s="35">
        <f>+AVERAGE(AJ82:AU82)</f>
        <v>46.06444393939393</v>
      </c>
      <c r="BW82" s="35">
        <f>+AVERAGE(AV82:BG82)</f>
        <v>47.534375788840784</v>
      </c>
      <c r="BX82" s="35">
        <f>+AVERAGE(BH82:BR82)</f>
        <v>49.44635584415584</v>
      </c>
    </row>
    <row r="83" spans="2:75" ht="12.75">
      <c r="B83" s="1"/>
      <c r="G83" s="1"/>
      <c r="K83" s="1"/>
      <c r="AJ83" s="1"/>
      <c r="AK83" s="1"/>
      <c r="AL83" s="1"/>
      <c r="AM83" s="1"/>
      <c r="AN83" s="1"/>
      <c r="AO83" s="1"/>
      <c r="AP83" s="1"/>
      <c r="AQ83" s="1"/>
      <c r="AR83" s="1"/>
      <c r="AS83" s="1"/>
      <c r="AT83" s="1"/>
      <c r="AU83" s="1"/>
      <c r="AV83" s="1"/>
      <c r="AW83" s="1"/>
      <c r="AX83" s="1"/>
      <c r="AY83" s="51"/>
      <c r="AZ83" s="51"/>
      <c r="BA83" s="51"/>
      <c r="BB83" s="51"/>
      <c r="BC83" s="51"/>
      <c r="BD83" s="51"/>
      <c r="BE83" s="51"/>
      <c r="BF83" s="51"/>
      <c r="BG83" s="51"/>
      <c r="BH83" s="51"/>
      <c r="BI83" s="51"/>
      <c r="BJ83" s="51"/>
      <c r="BK83" s="51"/>
      <c r="BL83" s="51"/>
      <c r="BM83" s="51"/>
      <c r="BN83" s="51"/>
      <c r="BO83" s="51"/>
      <c r="BP83" s="51"/>
      <c r="BQ83" s="51"/>
      <c r="BR83" s="51"/>
      <c r="BU83" s="4"/>
      <c r="BV83" s="4"/>
      <c r="BW83" s="47"/>
    </row>
    <row r="84" spans="1:70" s="44" customFormat="1" ht="12.75">
      <c r="A84" s="24"/>
      <c r="C84" s="40"/>
      <c r="D84" s="40"/>
      <c r="E84" s="40"/>
      <c r="F84" s="46"/>
      <c r="G84" s="35"/>
      <c r="H84" s="40"/>
      <c r="I84" s="40"/>
      <c r="J84" s="46"/>
      <c r="K84" s="19"/>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69"/>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row>
    <row r="85" spans="1:70" s="44" customFormat="1" ht="12.75">
      <c r="A85" s="24"/>
      <c r="C85" s="40"/>
      <c r="D85" s="40"/>
      <c r="E85" s="40"/>
      <c r="F85" s="46"/>
      <c r="G85" s="35"/>
      <c r="H85" s="40"/>
      <c r="I85" s="40"/>
      <c r="J85" s="46"/>
      <c r="K85" s="19"/>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row>
    <row r="86" spans="2:51" ht="12.75">
      <c r="B86" s="1"/>
      <c r="G86" s="1"/>
      <c r="K86" s="1"/>
      <c r="AJ86" s="1"/>
      <c r="AK86" s="1"/>
      <c r="AL86" s="1"/>
      <c r="AM86" s="1"/>
      <c r="AN86" s="1"/>
      <c r="AO86" s="1"/>
      <c r="AP86" s="1"/>
      <c r="AQ86" s="1"/>
      <c r="AR86" s="1"/>
      <c r="AS86" s="1"/>
      <c r="AT86" s="1"/>
      <c r="AU86" s="1"/>
      <c r="AV86" s="1"/>
      <c r="AW86" s="1"/>
      <c r="AX86" s="1"/>
      <c r="AY86" s="1"/>
    </row>
    <row r="87" spans="2:51" ht="12.75">
      <c r="B87" s="1"/>
      <c r="G87" s="1"/>
      <c r="K87" s="1"/>
      <c r="AJ87" s="1"/>
      <c r="AK87" s="1"/>
      <c r="AL87" s="1"/>
      <c r="AM87" s="1"/>
      <c r="AN87" s="1"/>
      <c r="AO87" s="1"/>
      <c r="AP87" s="1"/>
      <c r="AQ87" s="1"/>
      <c r="AR87" s="1"/>
      <c r="AS87" s="1"/>
      <c r="AT87" s="1"/>
      <c r="AU87" s="1"/>
      <c r="AV87" s="1"/>
      <c r="AW87" s="1"/>
      <c r="AX87" s="1"/>
      <c r="AY87" s="1"/>
    </row>
    <row r="88" spans="2:51" ht="12.75">
      <c r="B88" s="1"/>
      <c r="G88" s="1"/>
      <c r="K88" s="1"/>
      <c r="AJ88" s="1"/>
      <c r="AK88" s="1"/>
      <c r="AL88" s="1"/>
      <c r="AM88" s="1"/>
      <c r="AN88" s="1"/>
      <c r="AO88" s="1"/>
      <c r="AP88" s="1"/>
      <c r="AQ88" s="1"/>
      <c r="AR88" s="1"/>
      <c r="AS88" s="1"/>
      <c r="AT88" s="1"/>
      <c r="AU88" s="1"/>
      <c r="AV88" s="1"/>
      <c r="AW88" s="1"/>
      <c r="AX88" s="1"/>
      <c r="AY88" s="1"/>
    </row>
    <row r="89" spans="12:70" ht="12" customHeight="1">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7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ht="12" customHeight="1">
      <c r="B90" s="65"/>
    </row>
  </sheetData>
  <sheetProtection/>
  <mergeCells count="6">
    <mergeCell ref="C6:C7"/>
    <mergeCell ref="D6:D7"/>
    <mergeCell ref="E6:F6"/>
    <mergeCell ref="I6:J6"/>
    <mergeCell ref="H6:H7"/>
    <mergeCell ref="BT6:BX6"/>
  </mergeCells>
  <printOptions horizontalCentered="1"/>
  <pageMargins left="0.25" right="0.25" top="0.25" bottom="0.25" header="0.25" footer="0.25"/>
  <pageSetup fitToHeight="0" fitToWidth="3" horizontalDpi="600" verticalDpi="600" orientation="landscape" scale="47" r:id="rId2"/>
  <ignoredErrors>
    <ignoredError sqref="BU7:BV7" numberStoredAsText="1"/>
    <ignoredError sqref="BT12:BV12 BT38:BV38 BT37:BV37 BT44:BV44 BT43:BV43 BT50:BV50 BT49:BV49 BT14:BV14 BT13:BV13 BT16:BV16 BT15:BV15 BT18:BV18 BT17:BV17 BT20:BV20 BT19:BV19 BT22:BV22 BT21:BV21 BT24:BV24 BT23:BV23 BT26:BV26 BT25:BV25 BT28:BV28 BT27:BV27 BT34:BV34 BT33:BV33 BT36:BV36 BT35:BV35 BT41:BV41 BT39:BV39 BT30:BV30 BT29:BV29 BT32:BV32 BT31:BV31 BT46:BV46 BT45:BV45 BT48:BV48 BT47:BV47 BT52:BV52 BT51:BV51 BT54:BV54 BT53:BV53 BT56:BV56 BT55:BV55 BT58:BV58 BT57:BV57 BT60:BV60 BT59:BV59 BT62:BV62 BT61:BV61 BT64:BV64 BT63:BV63 BT65:BV65 BT68:BV68 BT67:BV67 BT70:BV70 BT69:BV69 BT72:BV72 BT71:BV71 BT74:BV74 BT73:BV73 BT76:BV76 BT75:BV75 BT78:BV78 BT77:BV77 BT80:BV80 BT79:BV79 I80:J80 K79 K80 BT82:BV82 BT40:BV40 BT42:BV42 I12:J12 I14:J14 I18:J18 I20:J20 I24:J24 I26:J26 I32:J32 I34:J34 I36:J36 I38:J38 I40:J40 I42:J42 I44:J44 I46:J46 I48:J48 I52:J52 I56:J56 I60:J60 I64:J64 I66:J66 I68:J68 I72:J72 I74:J74 I76:J76 I78:J78 I13:J13 I79:J79 I9:J9 I67:J67 I11:J11 I10:J10 I15:J15 I17:J17 I16:J16 I19:J19 I21:J23 I25:J25 I27:J29 I31:J31 I30:J30 I33:J33 I35:J35 I37:J37 I39:J39 I41:J41 I43:J43 I45:J45 I47:J47 I49:J51 I53:J53 I57:J59 I61:J61 I65:J65 I71:J71 I73:J73 I75:J75 I77:J77 G8 E78:G78 E76:G76 E77:G77 E74:G74 E75:G75 E72:G72 E73:G73 E70:G70 E71:G71 E68:G68 E69:G69 E66:G66 E64:G64 E65:G65 E60:G60 E61:G63 E56:G56 E57:G59 E52:G52 E53:G55 E48:G48 E49:G51 E46:G46 E47:G47 E44:G44 E45:G45 E42:G42 E43:G43 E40:G40 E41:G41 E38:G38 E39:G39 E36:G36 E37:G37 E34:G34 E35:G35 E32:G32 E33:G33 E30:G30 E31:G31 E26:G26 E27:G29 E24:G24 E25:G25 E20:G20 E21:G23 E18:G18 E19:G19 E16:G16 E17:G17 E14:G14 E15:G15 F12:G12 G10 E11:G11 E82:G82 E67:G67 E9:G9 E79:G79 E80:G80 E13:G13 F8 E12 E81:G81 BU66 BT66 BV66 H65 H61:H63 H57:H59 H53:H55 H49:H51 H47 H22:H23 C65 C61:C63 C57:C59 C53:C55 C49:C51 C47 C23 D65 D61:D63 D57:D59 D53:D55 D49:D51 D47 D23 H81 H79 H67 H69 H71 H73 H75 H77 D81 D79 D67 D69 D71 D73 D75 D77 C81 C79 C67 C69 C71 C73 C75 C77 D25 D27:D29 D31 D30 D33 D35 D37 D39 D41 D43 D45 C30 C25 C27:C29 C31 C33 C35 C37 C39 C41 C43 C45 H25 H27:H29 H31 H30 H33 H35 H37 H39 H41 H43 H45 D13 D9 D11 D15 D17 D16 D19 D21:D22 C16 C10 C13 C9 C11 C15 C17 C19 C21:C22 H13 H9 H11 H10 H15 H17 H16 H19 H21 BT8:BV8 I55:J55 J54 BX83 I63:J63 J62 BW18 BW20 BW14 BW12 BW10 BW9 BW11 BW13 BW21 BW19 BW15 BW17 BW16 BW42 BW38 BW26 BW34 BW36 BW40 BW32 BW24 BW28 BW30 BW31 BW29 BW39 BW35 BW33 BW27 BW25 BW37 BW41 BW68 BW70 BW72 BW74 BW76 BW78 BW80 BW82 BW66 BW81 BW79 BW77 BW75 BW73 BW71 BW69 BW67 BW50 BW54 BW58 BW62 BW65 BW63 BW61 BW59 BW57 BW55 BW53 BW51 BW47 BW45 BW49 BW43 BW23 BW22 BW8 BW44 BW46 BW48 BW52 BW56 BW60 BW64 BX81 BX79 BX77 BX75 BX73 BX71 BX69 BX41 BX39 BX37 BX35 BX33 BX31 BX29 BX27 BX25 BX23 BX21 BX19 BX17 BX15 BX13 BX67 BX43 BX45 BX47 BX49 BX51 BX53 BX55 BX57 BX59 BX61 BX63 BX65 BX11 BX9 BX10 BX62 BX58 BX54 BX50 BX16 BX22 BX28 BX30" formulaRange="1"/>
    <ignoredError sqref="BT7" numberStoredAsText="1"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0" defaultRowHeight="15" zeroHeight="1"/>
  <cols>
    <col min="1" max="10" width="11.421875" style="0" customWidth="1"/>
    <col min="11"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Dilcia Villanueva Villanueva</cp:lastModifiedBy>
  <cp:lastPrinted>2018-12-10T16:46:35Z</cp:lastPrinted>
  <dcterms:created xsi:type="dcterms:W3CDTF">2014-09-23T23:42:05Z</dcterms:created>
  <dcterms:modified xsi:type="dcterms:W3CDTF">2018-12-10T16:46:45Z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