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7620" activeTab="1"/>
  </bookViews>
  <sheets>
    <sheet name="EDESUR" sheetId="1" r:id="rId1"/>
    <sheet name="Certificación"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#REF!</definedName>
    <definedName name="__123Graph_A" hidden="1">#REF!</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#REF!</definedName>
    <definedName name="__123Graph_ADEBT" hidden="1">#REF!</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#REF!</definedName>
    <definedName name="__123Graph_BDEBT" hidden="1">#REF!</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#REF!</definedName>
    <definedName name="_11__123Graph_AFIG_D" hidden="1">#REF!</definedName>
    <definedName name="_12__123Graph_AIBA_IBRD" hidden="1">'[7]WB'!$Q$62:$AK$62</definedName>
    <definedName name="_16__123Graph_ATERMS_OF_TRADE" localSheetId="0" hidden="1">#REF!</definedName>
    <definedName name="_16__123Graph_ATERMS_OF_TRADE" hidden="1">#REF!</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#REF!</definedName>
    <definedName name="_24__123Graph_BTERMS_OF_TRADE" hidden="1">#REF!</definedName>
    <definedName name="_25__123Graph_BWB_ADJ_PRJ" hidden="1">'[7]WB'!$Q$257:$AK$257</definedName>
    <definedName name="_29__123Graph_XFIG_D" localSheetId="0" hidden="1">#REF!</definedName>
    <definedName name="_29__123Graph_XFIG_D" hidden="1">#REF!</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#REF!</definedName>
    <definedName name="_34__123Graph_XTERMS_OF_TRADE" hidden="1">#REF!</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#REF!</definedName>
    <definedName name="_Fill" hidden="1">#REF!</definedName>
    <definedName name="_Fill1" localSheetId="0" hidden="1">#REF!</definedName>
    <definedName name="_Fill1" hidden="1">#REF!</definedName>
    <definedName name="_xlnm._FilterDatabase" hidden="1">'[10]C'!$P$428:$T$428</definedName>
    <definedName name="_Key1" localSheetId="0" hidden="1">#REF!</definedName>
    <definedName name="_Key1" hidden="1">#REF!</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#REF!</definedName>
    <definedName name="_Parse_Out" hidden="1">#REF!</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#REF!</definedName>
    <definedName name="_Sort" hidden="1">#REF!</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_xlnm.Print_Area" localSheetId="1">'Certificación'!$A$1:$I$37</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#REF!</definedName>
    <definedName name="Start_18">'[24]Anexo Res Financieros'!#REF!</definedName>
    <definedName name="Start_3">#REF!</definedName>
    <definedName name="Start_62">#REF!</definedName>
    <definedName name="Start_63">#REF!</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#REF!,#REF!,#REF!</definedName>
    <definedName name="Z_1A8C061B_2301_11D3_BFD1_000039E37209_.wvu.Cols" hidden="1">#REF!,#REF!,#REF!</definedName>
    <definedName name="Z_1A8C061B_2301_11D3_BFD1_000039E37209_.wvu.Rows" localSheetId="0" hidden="1">#REF!,#REF!,#REF!</definedName>
    <definedName name="Z_1A8C061B_2301_11D3_BFD1_000039E37209_.wvu.Rows" hidden="1">#REF!,#REF!,#REF!</definedName>
    <definedName name="Z_1A8C061C_2301_11D3_BFD1_000039E37209_.wvu.Cols" localSheetId="0" hidden="1">#REF!,#REF!,#REF!</definedName>
    <definedName name="Z_1A8C061C_2301_11D3_BFD1_000039E37209_.wvu.Cols" hidden="1">#REF!,#REF!,#REF!</definedName>
    <definedName name="Z_1A8C061C_2301_11D3_BFD1_000039E37209_.wvu.Rows" localSheetId="0" hidden="1">#REF!,#REF!,#REF!</definedName>
    <definedName name="Z_1A8C061C_2301_11D3_BFD1_000039E37209_.wvu.Rows" hidden="1">#REF!,#REF!,#REF!</definedName>
    <definedName name="Z_1A8C061E_2301_11D3_BFD1_000039E37209_.wvu.Cols" localSheetId="0" hidden="1">#REF!,#REF!,#REF!</definedName>
    <definedName name="Z_1A8C061E_2301_11D3_BFD1_000039E37209_.wvu.Cols" hidden="1">#REF!,#REF!,#REF!</definedName>
    <definedName name="Z_1A8C061E_2301_11D3_BFD1_000039E37209_.wvu.Rows" localSheetId="0" hidden="1">#REF!,#REF!,#REF!</definedName>
    <definedName name="Z_1A8C061E_2301_11D3_BFD1_000039E37209_.wvu.Rows" hidden="1">#REF!,#REF!,#REF!</definedName>
    <definedName name="Z_1A8C061F_2301_11D3_BFD1_000039E37209_.wvu.Cols" localSheetId="0" hidden="1">#REF!,#REF!,#REF!</definedName>
    <definedName name="Z_1A8C061F_2301_11D3_BFD1_000039E37209_.wvu.Cols" hidden="1">#REF!,#REF!,#REF!</definedName>
    <definedName name="Z_1A8C061F_2301_11D3_BFD1_000039E37209_.wvu.Rows" localSheetId="0" hidden="1">#REF!,#REF!,#REF!</definedName>
    <definedName name="Z_1A8C061F_2301_11D3_BFD1_000039E37209_.wvu.Rows" hidden="1">#REF!,#REF!,#REF!</definedName>
    <definedName name="Z_95224721_0485_11D4_BFD1_00508B5F4DA4_.wvu.Cols" localSheetId="0" hidden="1">#REF!</definedName>
    <definedName name="Z_95224721_0485_11D4_BFD1_00508B5F4DA4_.wvu.Cols" hidden="1">#REF!</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<sst xmlns="http://schemas.openxmlformats.org/spreadsheetml/2006/main" count="120" uniqueCount="86">
  <si>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</si>
  <si>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</si>
  <si>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</si>
  <si>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</si>
  <si>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</si>
  <si>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</si>
  <si>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</si>
  <si>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</si>
  <si>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</si>
  <si>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</si>
  <si>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</si>
  <si>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</si>
  <si>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</si>
  <si>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</si>
  <si>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</si>
  <si>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</si>
  <si>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</si>
  <si>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</si>
  <si>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</si>
  <si>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</si>
  <si>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</si>
  <si>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</si>
  <si>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</si>
  <si>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</si>
  <si>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Precio Medio de Venta de Energía (USCents/kWh)</t>
  </si>
  <si>
    <t>2015</t>
  </si>
  <si>
    <t>2016</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</si>
  <si>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</si>
  <si>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</si>
  <si>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</si>
  <si>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</si>
  <si>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</si>
  <si>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</si>
  <si>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</si>
  <si>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</si>
  <si>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</si>
  <si>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</si>
  <si>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</si>
  <si>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</si>
  <si>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</si>
  <si>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</si>
  <si>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</si>
  <si>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</si>
  <si>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</si>
  <si>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</si>
  <si>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SAIDI (hrs)</t>
  </si>
  <si>
    <t>Cantidad de Clientes</t>
  </si>
  <si>
    <t>Trimestre ENERO -MARZO 2019</t>
  </si>
  <si>
    <t>Trimestre ENERO -MARZO 2014</t>
  </si>
  <si>
    <t>Trimestre ABRIL- JUNIO 2014</t>
  </si>
  <si>
    <t>Trimestre JULIO -SEPTIEMBRE 2014</t>
  </si>
  <si>
    <t>Trimestre OCTUBRE - DICIEMBRE 2014</t>
  </si>
  <si>
    <t>Trimestre ENERO -MARZO 2015</t>
  </si>
  <si>
    <t>Trimestre ABRIL- JUNIO 2015</t>
  </si>
  <si>
    <t>Trimestre JULIO -SEPTIEMBRE 2015</t>
  </si>
  <si>
    <t>Trimestre OCTUBRE - DICIEMBRE 2015</t>
  </si>
  <si>
    <t>Trimestre ENERO -MARZO 2016</t>
  </si>
  <si>
    <t>Trimestre ABRIL- JUNIO 2016</t>
  </si>
  <si>
    <t>Trimestre JULIO -SEPTIEMBRE 2016</t>
  </si>
  <si>
    <t>Trimestre OCTUBRE - DICIEMBRE 2016</t>
  </si>
  <si>
    <t>Trimestre ENERO -MARZO 2017</t>
  </si>
  <si>
    <t>Trimestre ABRIL- JUNIO 2017</t>
  </si>
  <si>
    <t>Trimestre JULIO -SEPTIEMBRE 2017</t>
  </si>
  <si>
    <t>Trimestre OCTUBRE - DICIEMBRE 2017</t>
  </si>
  <si>
    <t>Trimestre ENERO -MARZO 2018</t>
  </si>
  <si>
    <t>Trimestre ABRIL- JUNIO 2018</t>
  </si>
  <si>
    <t>Trimestre JULIO -SEPTIEMBRE 2018</t>
  </si>
  <si>
    <t>Trimestre OCTUBRE - DICIEMBRE 2018</t>
  </si>
  <si>
    <t>Trimestre ABRIL -JUNIO 2019</t>
  </si>
  <si>
    <t>Trimestre JULIO -SEPTIEMBRE 2019</t>
  </si>
  <si>
    <t>Trimestre OCTUBRE - DICIEMBRE 2019</t>
  </si>
  <si>
    <t>Trimestre ENERO -MARZO 2020</t>
  </si>
  <si>
    <t>Trimestre ABRIL -JUNIO 2020</t>
  </si>
  <si>
    <t>Trimestre JULIO -SEPTIEMBRE 2020</t>
  </si>
  <si>
    <t>Trimestre OCTUBRE - DICIEMBRE 2020</t>
  </si>
  <si>
    <t>Trimestre ENERO - MARZO 2021</t>
  </si>
  <si>
    <t>Trimestre JULIO - SEPTIEMBRE 2021</t>
  </si>
  <si>
    <t>Trimestre OCTUBRE - DICIEMBRE 2021</t>
  </si>
  <si>
    <t>Trimestre ABRIL - JUNIO 2021</t>
  </si>
  <si>
    <t>Comparativo Trimestral 2021 vs 2020</t>
  </si>
  <si>
    <t>Empleados Regulares</t>
  </si>
  <si>
    <t>Empleados en Trámite de Pensión</t>
  </si>
  <si>
    <t>Trimestre ENERO - MARZO 2022</t>
  </si>
  <si>
    <t>Trimestre ABRIL - JUNIO 2022</t>
  </si>
  <si>
    <t>Trimestre JULIO - SEPTIEMBRE 2022</t>
  </si>
  <si>
    <t>Trimestre OCTUBRE - DICIEMBRE 2022</t>
  </si>
</sst>
</file>

<file path=xl/styles.xml><?xml version="1.0" encoding="utf-8"?>
<styleSheet xmlns="http://schemas.openxmlformats.org/spreadsheetml/2006/main">
  <numFmts count="50">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 _€_-;\-* #,##0\ _€_-;_-* &quot;-&quot;\ _€_-;_-@_-"/>
    <numFmt numFmtId="179" formatCode="_-* #,##0.00\ _€_-;\-* #,##0.00\ _€_-;_-* &quot;-&quot;??\ _€_-;_-@_-"/>
    <numFmt numFmtId="180" formatCode="[$-409]mmm\-yy;@"/>
    <numFmt numFmtId="181" formatCode="#,##0.0_);[Red]\(#,##0.0\)"/>
    <numFmt numFmtId="182" formatCode="0.0%;[Red]\(0.0%\)"/>
    <numFmt numFmtId="183" formatCode="_(* #,##0.0_);_(* \(#,##0.0\);_(* &quot;-&quot;??_);_(@_)"/>
    <numFmt numFmtId="184" formatCode="0.0%"/>
    <numFmt numFmtId="185" formatCode="%#,#00"/>
    <numFmt numFmtId="186" formatCode="_-* #,##0.00\ _R_D_$_-;\-* #,##0.00\ _R_D_$_-;_-* &quot;-&quot;??\ _R_D_$_-;_-@_-"/>
    <numFmt numFmtId="187" formatCode="0.00%;[Red]\(0.00%\)"/>
    <numFmt numFmtId="188" formatCode="#,##0.000000000000000000_);[Red]\(#,##0.000000000000000000\)"/>
    <numFmt numFmtId="189" formatCode="0.000%"/>
    <numFmt numFmtId="190" formatCode="0.0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0.0;[Red]#,##0.0"/>
    <numFmt numFmtId="196" formatCode="#,##0.000\ _€;[Red]\-#,##0.000\ _€"/>
    <numFmt numFmtId="197" formatCode="[$-1C0A]dddd\,\ dd&quot; de &quot;mmmm&quot; de &quot;yyyy"/>
    <numFmt numFmtId="198" formatCode="[$-1C0A]hh:mm:ss\ AM/PM"/>
    <numFmt numFmtId="199" formatCode="_(* #,##0.000_);_(* \(#,##0.000\);_(* &quot;-&quot;??_);_(@_)"/>
    <numFmt numFmtId="200" formatCode="_(* #,##0_);_(* \(#,##0\);_(* &quot;-&quot;??_);_(@_)"/>
    <numFmt numFmtId="201" formatCode="#,##0.0\ _€;[Red]\-#,##0.0\ _€"/>
    <numFmt numFmtId="202" formatCode="#,##0.00\ _€;[Red]\-#,##0.00\ _€"/>
    <numFmt numFmtId="203" formatCode="#,##0.000_);[Red]\(#,##0.000\)"/>
    <numFmt numFmtId="204" formatCode="#,##0.000;[Red]\-#,##0.000"/>
    <numFmt numFmtId="205" formatCode="0.000%;[Red]\(0.000%\)"/>
  </numFmts>
  <fonts count="73">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8"/>
      <name val="Tahoma"/>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sz val="10"/>
      <color indexed="55"/>
      <name val="Calibri"/>
      <family val="2"/>
    </font>
    <font>
      <b/>
      <sz val="10"/>
      <color indexed="55"/>
      <name val="Calibri"/>
      <family val="2"/>
    </font>
    <font>
      <b/>
      <sz val="10"/>
      <color indexed="10"/>
      <name val="Calibri"/>
      <family val="2"/>
    </font>
    <font>
      <sz val="10"/>
      <color indexed="49"/>
      <name val="Calibri"/>
      <family val="2"/>
    </font>
    <font>
      <b/>
      <sz val="10"/>
      <color indexed="9"/>
      <name val="Symbol"/>
      <family val="1"/>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Tahom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
      <b/>
      <sz val="10"/>
      <color theme="0"/>
      <name val="Symbol"/>
      <family val="1"/>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0"/>
        <bgColor indexed="64"/>
      </patternFill>
    </fill>
    <fill>
      <patternFill patternType="solid">
        <fgColor theme="5" tint="-0.24997000396251678"/>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43" fontId="0"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6" fontId="0" fillId="0" borderId="0" applyFont="0" applyFill="0" applyBorder="0" applyAlignment="0" applyProtection="0"/>
    <xf numFmtId="43" fontId="4"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80"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4" fillId="0" borderId="0">
      <alignment/>
      <protection/>
    </xf>
    <xf numFmtId="0" fontId="4" fillId="0" borderId="0">
      <alignment/>
      <protection/>
    </xf>
    <xf numFmtId="0" fontId="46" fillId="0" borderId="0">
      <alignment/>
      <protection/>
    </xf>
    <xf numFmtId="0" fontId="0" fillId="32" borderId="5" applyNumberFormat="0" applyFont="0" applyAlignment="0" applyProtection="0"/>
    <xf numFmtId="9" fontId="54" fillId="0" borderId="0" applyFont="0" applyFill="0" applyBorder="0" applyAlignment="0" applyProtection="0"/>
    <xf numFmtId="0" fontId="5" fillId="0" borderId="0">
      <alignment/>
      <protection locked="0"/>
    </xf>
    <xf numFmtId="185" fontId="5" fillId="0" borderId="0">
      <alignment/>
      <protection locked="0"/>
    </xf>
    <xf numFmtId="9" fontId="4" fillId="0" borderId="0" applyFont="0" applyFill="0" applyBorder="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93">
    <xf numFmtId="0" fontId="0" fillId="0" borderId="0" xfId="0" applyFont="1" applyAlignment="1">
      <alignment/>
    </xf>
    <xf numFmtId="0" fontId="54" fillId="0" borderId="0" xfId="0" applyFont="1" applyAlignment="1" applyProtection="1">
      <alignment horizontal="center"/>
      <protection hidden="1"/>
    </xf>
    <xf numFmtId="0" fontId="61" fillId="0" borderId="0" xfId="55" applyFont="1" applyAlignment="1" applyProtection="1">
      <alignment horizontal="left" vertical="center"/>
      <protection hidden="1"/>
    </xf>
    <xf numFmtId="0" fontId="62" fillId="0" borderId="0" xfId="0" applyFont="1" applyAlignment="1" applyProtection="1">
      <alignment horizontal="left" indent="11"/>
      <protection hidden="1"/>
    </xf>
    <xf numFmtId="0" fontId="54" fillId="0" borderId="0" xfId="0" applyFont="1" applyFill="1" applyAlignment="1" applyProtection="1">
      <alignment horizontal="center"/>
      <protection hidden="1"/>
    </xf>
    <xf numFmtId="0" fontId="54" fillId="0" borderId="0" xfId="0" applyFont="1" applyAlignment="1" applyProtection="1">
      <alignment horizontal="right"/>
      <protection hidden="1"/>
    </xf>
    <xf numFmtId="0" fontId="63" fillId="0" borderId="0" xfId="0" applyFont="1" applyAlignment="1" applyProtection="1">
      <alignment horizontal="left" indent="11"/>
      <protection hidden="1"/>
    </xf>
    <xf numFmtId="0" fontId="54" fillId="0" borderId="0" xfId="0" applyFont="1" applyAlignment="1" applyProtection="1">
      <alignment horizontal="left" indent="11"/>
      <protection hidden="1"/>
    </xf>
    <xf numFmtId="0" fontId="54" fillId="0" borderId="0" xfId="0" applyFont="1" applyAlignment="1" applyProtection="1">
      <alignment/>
      <protection hidden="1"/>
    </xf>
    <xf numFmtId="0" fontId="64" fillId="0" borderId="0" xfId="0" applyNumberFormat="1" applyFont="1" applyAlignment="1" applyProtection="1">
      <alignment horizontal="center" vertical="center"/>
      <protection hidden="1"/>
    </xf>
    <xf numFmtId="0" fontId="64" fillId="0" borderId="0" xfId="0" applyNumberFormat="1" applyFont="1" applyFill="1" applyAlignment="1" applyProtection="1">
      <alignment horizontal="center" vertical="center"/>
      <protection hidden="1"/>
    </xf>
    <xf numFmtId="0" fontId="64" fillId="0" borderId="0" xfId="0" applyFont="1" applyFill="1" applyAlignment="1" applyProtection="1">
      <alignment horizontal="right"/>
      <protection hidden="1"/>
    </xf>
    <xf numFmtId="180" fontId="65" fillId="0" borderId="0" xfId="0" applyNumberFormat="1" applyFont="1" applyFill="1" applyBorder="1" applyAlignment="1" applyProtection="1">
      <alignment horizontal="center" vertical="center"/>
      <protection hidden="1"/>
    </xf>
    <xf numFmtId="0" fontId="54" fillId="0" borderId="0" xfId="0" applyFont="1" applyFill="1" applyAlignment="1" applyProtection="1">
      <alignment horizontal="center" vertical="center"/>
      <protection hidden="1"/>
    </xf>
    <xf numFmtId="3" fontId="64"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81"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protection hidden="1"/>
    </xf>
    <xf numFmtId="40" fontId="64" fillId="0" borderId="0" xfId="0" applyNumberFormat="1" applyFont="1" applyFill="1" applyBorder="1" applyAlignment="1" applyProtection="1">
      <alignment horizontal="center" vertical="center"/>
      <protection hidden="1"/>
    </xf>
    <xf numFmtId="0" fontId="64" fillId="0" borderId="0" xfId="0" applyFont="1" applyAlignment="1" applyProtection="1">
      <alignment horizontal="center"/>
      <protection hidden="1"/>
    </xf>
    <xf numFmtId="0" fontId="64"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6" fillId="0" borderId="0" xfId="0" applyFont="1" applyAlignment="1" applyProtection="1">
      <alignment horizontal="right"/>
      <protection hidden="1"/>
    </xf>
    <xf numFmtId="0" fontId="62" fillId="0" borderId="0" xfId="0" applyFont="1" applyAlignment="1" applyProtection="1">
      <alignment/>
      <protection hidden="1"/>
    </xf>
    <xf numFmtId="0" fontId="54" fillId="0" borderId="0" xfId="0" applyFont="1" applyAlignment="1" applyProtection="1">
      <alignment horizontal="center"/>
      <protection hidden="1"/>
    </xf>
    <xf numFmtId="0" fontId="64" fillId="0" borderId="0" xfId="0" applyNumberFormat="1" applyFont="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8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4"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54" fillId="0" borderId="0" xfId="0" applyFont="1" applyAlignment="1" applyProtection="1">
      <alignment horizontal="center"/>
      <protection hidden="1"/>
    </xf>
    <xf numFmtId="0" fontId="54" fillId="0" borderId="0" xfId="0" applyFont="1" applyFill="1" applyAlignment="1" applyProtection="1">
      <alignment horizontal="center"/>
      <protection hidden="1"/>
    </xf>
    <xf numFmtId="182" fontId="32" fillId="0" borderId="0" xfId="0" applyNumberFormat="1" applyFont="1" applyFill="1" applyBorder="1" applyAlignment="1" applyProtection="1">
      <alignment horizontal="center" vertical="center"/>
      <protection hidden="1"/>
    </xf>
    <xf numFmtId="181" fontId="32" fillId="0" borderId="0" xfId="0" applyNumberFormat="1" applyFont="1" applyFill="1" applyBorder="1" applyAlignment="1" applyProtection="1">
      <alignment horizontal="center" vertical="center"/>
      <protection hidden="1"/>
    </xf>
    <xf numFmtId="0" fontId="34" fillId="0" borderId="0" xfId="0" applyFont="1" applyFill="1" applyBorder="1" applyAlignment="1" applyProtection="1">
      <alignment horizontal="left" vertical="center" indent="1"/>
      <protection hidden="1"/>
    </xf>
    <xf numFmtId="183" fontId="54" fillId="0" borderId="0" xfId="58" applyNumberFormat="1" applyFont="1" applyAlignment="1" applyProtection="1">
      <alignment horizontal="center"/>
      <protection hidden="1"/>
    </xf>
    <xf numFmtId="40" fontId="32" fillId="0" borderId="0" xfId="58" applyNumberFormat="1" applyFont="1" applyFill="1" applyBorder="1" applyAlignment="1" applyProtection="1">
      <alignment vertical="center"/>
      <protection hidden="1"/>
    </xf>
    <xf numFmtId="181" fontId="32" fillId="0" borderId="0" xfId="0" applyNumberFormat="1" applyFont="1" applyAlignment="1" applyProtection="1">
      <alignment horizontal="center" vertical="center"/>
      <protection hidden="1"/>
    </xf>
    <xf numFmtId="0" fontId="54" fillId="33" borderId="0" xfId="0" applyFont="1" applyFill="1" applyAlignment="1" applyProtection="1">
      <alignment/>
      <protection hidden="1"/>
    </xf>
    <xf numFmtId="0" fontId="64" fillId="33" borderId="0" xfId="0" applyFont="1" applyFill="1" applyBorder="1" applyAlignment="1" applyProtection="1">
      <alignment horizontal="center" vertical="center"/>
      <protection hidden="1"/>
    </xf>
    <xf numFmtId="17" fontId="65" fillId="33" borderId="0" xfId="0" applyNumberFormat="1" applyFont="1" applyFill="1" applyBorder="1" applyAlignment="1" applyProtection="1">
      <alignment horizontal="center" vertical="center"/>
      <protection hidden="1"/>
    </xf>
    <xf numFmtId="49" fontId="65" fillId="33" borderId="0" xfId="0" applyNumberFormat="1" applyFont="1" applyFill="1" applyBorder="1" applyAlignment="1" applyProtection="1">
      <alignment horizontal="center" vertical="center"/>
      <protection hidden="1"/>
    </xf>
    <xf numFmtId="43" fontId="32" fillId="0" borderId="0" xfId="58" applyFont="1" applyFill="1" applyBorder="1" applyAlignment="1" applyProtection="1">
      <alignment horizontal="center" vertical="center"/>
      <protection hidden="1"/>
    </xf>
    <xf numFmtId="43" fontId="67" fillId="0" borderId="0" xfId="58" applyFont="1" applyBorder="1" applyAlignment="1">
      <alignment horizontal="center" vertical="center"/>
    </xf>
    <xf numFmtId="43" fontId="68" fillId="34" borderId="0" xfId="58" applyFont="1" applyFill="1" applyBorder="1" applyAlignment="1">
      <alignment horizontal="center" vertical="center"/>
    </xf>
    <xf numFmtId="184" fontId="54" fillId="0" borderId="0" xfId="0" applyNumberFormat="1" applyFont="1" applyAlignment="1" applyProtection="1">
      <alignment horizontal="center"/>
      <protection hidden="1"/>
    </xf>
    <xf numFmtId="0" fontId="69" fillId="34" borderId="0" xfId="0" applyFont="1" applyFill="1" applyBorder="1" applyAlignment="1" applyProtection="1">
      <alignment horizontal="left" vertical="center" indent="1"/>
      <protection hidden="1"/>
    </xf>
    <xf numFmtId="43" fontId="54"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43" fontId="54" fillId="0" borderId="0" xfId="58" applyNumberFormat="1" applyFont="1" applyAlignment="1" applyProtection="1">
      <alignment horizontal="center"/>
      <protection hidden="1"/>
    </xf>
    <xf numFmtId="43" fontId="32" fillId="0" borderId="0" xfId="58" applyFont="1" applyFill="1" applyBorder="1" applyAlignment="1" applyProtection="1">
      <alignment vertical="center"/>
      <protection hidden="1"/>
    </xf>
    <xf numFmtId="181" fontId="32" fillId="0" borderId="0" xfId="58"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5" fillId="33" borderId="0" xfId="0" applyNumberFormat="1" applyFont="1" applyFill="1" applyBorder="1" applyAlignment="1" applyProtection="1">
      <alignment horizontal="center" vertical="center"/>
      <protection hidden="1"/>
    </xf>
    <xf numFmtId="4" fontId="54" fillId="0" borderId="0" xfId="0" applyNumberFormat="1" applyFont="1" applyAlignment="1" applyProtection="1">
      <alignment horizontal="center"/>
      <protection hidden="1"/>
    </xf>
    <xf numFmtId="183" fontId="54" fillId="0" borderId="0" xfId="58" applyNumberFormat="1" applyFont="1" applyFill="1" applyAlignment="1" applyProtection="1">
      <alignment horizontal="center"/>
      <protection hidden="1"/>
    </xf>
    <xf numFmtId="184" fontId="54" fillId="0" borderId="0" xfId="88" applyNumberFormat="1" applyFont="1" applyFill="1" applyAlignment="1" applyProtection="1">
      <alignment horizontal="center"/>
      <protection hidden="1"/>
    </xf>
    <xf numFmtId="181" fontId="54" fillId="0" borderId="0" xfId="0" applyNumberFormat="1" applyFont="1" applyFill="1" applyAlignment="1" applyProtection="1">
      <alignment horizontal="center"/>
      <protection hidden="1"/>
    </xf>
    <xf numFmtId="9" fontId="54" fillId="0" borderId="0" xfId="0" applyNumberFormat="1" applyFont="1" applyFill="1" applyAlignment="1" applyProtection="1">
      <alignment horizontal="center"/>
      <protection hidden="1"/>
    </xf>
    <xf numFmtId="17" fontId="65" fillId="33" borderId="0" xfId="0" applyNumberFormat="1" applyFont="1" applyFill="1" applyBorder="1" applyAlignment="1" applyProtection="1">
      <alignment horizontal="center" vertical="center" wrapText="1"/>
      <protection hidden="1"/>
    </xf>
    <xf numFmtId="17" fontId="65" fillId="35" borderId="0" xfId="0" applyNumberFormat="1" applyFont="1" applyFill="1" applyBorder="1" applyAlignment="1" applyProtection="1">
      <alignment horizontal="center" vertical="center" wrapText="1"/>
      <protection hidden="1"/>
    </xf>
    <xf numFmtId="49" fontId="71" fillId="36" borderId="0" xfId="0" applyNumberFormat="1" applyFont="1" applyFill="1" applyBorder="1" applyAlignment="1" applyProtection="1">
      <alignment horizontal="center" vertical="center"/>
      <protection hidden="1"/>
    </xf>
    <xf numFmtId="188" fontId="32" fillId="0" borderId="0" xfId="58" applyNumberFormat="1" applyFont="1" applyFill="1" applyBorder="1" applyAlignment="1" applyProtection="1">
      <alignment vertical="center"/>
      <protection hidden="1"/>
    </xf>
    <xf numFmtId="10" fontId="54" fillId="0" borderId="0" xfId="0" applyNumberFormat="1" applyFont="1" applyFill="1" applyAlignment="1" applyProtection="1">
      <alignment horizontal="center"/>
      <protection hidden="1"/>
    </xf>
    <xf numFmtId="9" fontId="54" fillId="0" borderId="0" xfId="0" applyNumberFormat="1" applyFont="1" applyAlignment="1" applyProtection="1">
      <alignment horizontal="center"/>
      <protection hidden="1"/>
    </xf>
    <xf numFmtId="9" fontId="32" fillId="0" borderId="0" xfId="0" applyNumberFormat="1" applyFont="1" applyFill="1" applyBorder="1" applyAlignment="1" applyProtection="1">
      <alignment horizontal="center" vertical="center"/>
      <protection hidden="1"/>
    </xf>
    <xf numFmtId="184" fontId="32" fillId="0" borderId="0" xfId="88" applyNumberFormat="1" applyFont="1" applyFill="1" applyBorder="1" applyAlignment="1" applyProtection="1">
      <alignment horizontal="center" vertical="center"/>
      <protection hidden="1"/>
    </xf>
    <xf numFmtId="201" fontId="32" fillId="0" borderId="0" xfId="0" applyNumberFormat="1" applyFont="1" applyFill="1" applyBorder="1" applyAlignment="1" applyProtection="1">
      <alignment horizontal="center" vertical="center"/>
      <protection hidden="1"/>
    </xf>
    <xf numFmtId="43" fontId="54" fillId="0" borderId="0" xfId="58" applyFont="1" applyAlignment="1" applyProtection="1">
      <alignment horizontal="center"/>
      <protection hidden="1"/>
    </xf>
    <xf numFmtId="40" fontId="0" fillId="0" borderId="0" xfId="0" applyNumberFormat="1" applyAlignment="1">
      <alignment/>
    </xf>
    <xf numFmtId="181" fontId="0" fillId="0" borderId="0" xfId="0" applyNumberFormat="1" applyAlignment="1">
      <alignment/>
    </xf>
    <xf numFmtId="182" fontId="0" fillId="0" borderId="0" xfId="0" applyNumberFormat="1" applyAlignment="1">
      <alignment/>
    </xf>
    <xf numFmtId="40" fontId="32" fillId="0" borderId="0" xfId="0" applyNumberFormat="1" applyFont="1" applyFill="1" applyBorder="1" applyAlignment="1" applyProtection="1">
      <alignment horizontal="center" vertical="center"/>
      <protection hidden="1"/>
    </xf>
    <xf numFmtId="181" fontId="32" fillId="0" borderId="0" xfId="58" applyNumberFormat="1" applyFont="1" applyFill="1" applyBorder="1" applyAlignment="1" applyProtection="1">
      <alignment horizontal="center" vertical="center"/>
      <protection hidden="1"/>
    </xf>
    <xf numFmtId="181" fontId="54" fillId="0" borderId="0" xfId="0" applyNumberFormat="1" applyFont="1" applyAlignment="1" applyProtection="1">
      <alignment horizontal="center"/>
      <protection hidden="1"/>
    </xf>
    <xf numFmtId="181" fontId="54" fillId="0" borderId="0" xfId="58" applyNumberFormat="1" applyFont="1" applyFill="1" applyAlignment="1" applyProtection="1">
      <alignment horizontal="center"/>
      <protection hidden="1"/>
    </xf>
    <xf numFmtId="43" fontId="54" fillId="0" borderId="0" xfId="58" applyFont="1" applyFill="1" applyBorder="1" applyAlignment="1">
      <alignment/>
    </xf>
    <xf numFmtId="181" fontId="54" fillId="0" borderId="0" xfId="58" applyNumberFormat="1" applyFont="1" applyFill="1" applyBorder="1" applyAlignment="1">
      <alignment/>
    </xf>
    <xf numFmtId="184" fontId="64" fillId="0" borderId="0" xfId="88" applyNumberFormat="1" applyFont="1" applyAlignment="1" applyProtection="1">
      <alignment horizontal="right"/>
      <protection hidden="1"/>
    </xf>
    <xf numFmtId="184" fontId="34" fillId="0" borderId="0" xfId="88" applyNumberFormat="1" applyFont="1" applyFill="1" applyBorder="1" applyAlignment="1" applyProtection="1">
      <alignment horizontal="left" vertical="center" indent="1"/>
      <protection hidden="1"/>
    </xf>
    <xf numFmtId="184" fontId="64" fillId="0" borderId="0" xfId="88" applyNumberFormat="1" applyFont="1" applyFill="1" applyAlignment="1" applyProtection="1">
      <alignment horizontal="center"/>
      <protection hidden="1"/>
    </xf>
    <xf numFmtId="184" fontId="54" fillId="0" borderId="0" xfId="88" applyNumberFormat="1" applyFont="1" applyAlignment="1" applyProtection="1">
      <alignment horizontal="center"/>
      <protection hidden="1"/>
    </xf>
    <xf numFmtId="10" fontId="64" fillId="0" borderId="0" xfId="88" applyNumberFormat="1" applyFont="1" applyAlignment="1" applyProtection="1">
      <alignment horizontal="right"/>
      <protection hidden="1"/>
    </xf>
    <xf numFmtId="10" fontId="34" fillId="0" borderId="0" xfId="88" applyNumberFormat="1" applyFont="1" applyFill="1" applyBorder="1" applyAlignment="1" applyProtection="1">
      <alignment horizontal="left" vertical="center" indent="1"/>
      <protection hidden="1"/>
    </xf>
    <xf numFmtId="10" fontId="32" fillId="0" borderId="0" xfId="88" applyNumberFormat="1" applyFont="1" applyFill="1" applyBorder="1" applyAlignment="1" applyProtection="1">
      <alignment horizontal="center" vertical="center"/>
      <protection hidden="1"/>
    </xf>
    <xf numFmtId="10" fontId="54" fillId="0" borderId="0" xfId="88" applyNumberFormat="1" applyFont="1" applyFill="1" applyAlignment="1" applyProtection="1">
      <alignment horizontal="center"/>
      <protection hidden="1"/>
    </xf>
    <xf numFmtId="10" fontId="64" fillId="0" borderId="0" xfId="88" applyNumberFormat="1" applyFont="1" applyFill="1" applyAlignment="1" applyProtection="1">
      <alignment horizontal="center"/>
      <protection hidden="1"/>
    </xf>
    <xf numFmtId="10" fontId="54" fillId="0" borderId="0" xfId="88" applyNumberFormat="1" applyFont="1" applyAlignment="1" applyProtection="1">
      <alignment horizontal="center"/>
      <protection hidden="1"/>
    </xf>
    <xf numFmtId="17" fontId="72" fillId="33" borderId="0" xfId="0" applyNumberFormat="1" applyFont="1" applyFill="1" applyBorder="1" applyAlignment="1" applyProtection="1">
      <alignment horizontal="center" vertical="center" wrapText="1"/>
      <protection hidden="1"/>
    </xf>
    <xf numFmtId="0" fontId="62" fillId="0" borderId="0" xfId="0" applyFont="1" applyAlignment="1" applyProtection="1">
      <alignment horizontal="center" vertical="center"/>
      <protection hidden="1"/>
    </xf>
  </cellXfs>
  <cellStyles count="8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10 2" xfId="37"/>
    <cellStyle name="Comma 11" xfId="38"/>
    <cellStyle name="Comma 2" xfId="39"/>
    <cellStyle name="Comma 2 12 29" xfId="40"/>
    <cellStyle name="Comma 2 13" xfId="41"/>
    <cellStyle name="Comma 2 13 2" xfId="42"/>
    <cellStyle name="Comma 3" xfId="43"/>
    <cellStyle name="Comma 3 10" xfId="44"/>
    <cellStyle name="Comma 4 12" xfId="45"/>
    <cellStyle name="Encabezado 1" xfId="46"/>
    <cellStyle name="Encabezado 4" xfId="47"/>
    <cellStyle name="Énfasis1" xfId="48"/>
    <cellStyle name="Énfasis2" xfId="49"/>
    <cellStyle name="Énfasis3" xfId="50"/>
    <cellStyle name="Énfasis4" xfId="51"/>
    <cellStyle name="Énfasis5" xfId="52"/>
    <cellStyle name="Énfasis6" xfId="53"/>
    <cellStyle name="Entrada" xfId="54"/>
    <cellStyle name="Hyperlink" xfId="55"/>
    <cellStyle name="Followed Hyperlink" xfId="56"/>
    <cellStyle name="Incorrecto" xfId="57"/>
    <cellStyle name="Comma" xfId="58"/>
    <cellStyle name="Comma [0]" xfId="59"/>
    <cellStyle name="Millares 2" xfId="60"/>
    <cellStyle name="Millares 2 2" xfId="61"/>
    <cellStyle name="Currency" xfId="62"/>
    <cellStyle name="Currency [0]" xfId="63"/>
    <cellStyle name="Neutral" xfId="64"/>
    <cellStyle name="Normal 2" xfId="65"/>
    <cellStyle name="Normal 2 10" xfId="66"/>
    <cellStyle name="Normal 2 14 2" xfId="67"/>
    <cellStyle name="Normal 2 2" xfId="68"/>
    <cellStyle name="Normal 2 2 44" xfId="69"/>
    <cellStyle name="Normal 2 3 2" xfId="70"/>
    <cellStyle name="Normal 26 2" xfId="71"/>
    <cellStyle name="Normal 3" xfId="72"/>
    <cellStyle name="Normal 3 2" xfId="73"/>
    <cellStyle name="Normal 3 2 28" xfId="74"/>
    <cellStyle name="Normal 4" xfId="75"/>
    <cellStyle name="Normal 4 10" xfId="76"/>
    <cellStyle name="Normal 4 2" xfId="77"/>
    <cellStyle name="Normal 4 2 2" xfId="78"/>
    <cellStyle name="Normal 4 44" xfId="79"/>
    <cellStyle name="Normal 44" xfId="80"/>
    <cellStyle name="Normal 5" xfId="81"/>
    <cellStyle name="Normal 8" xfId="82"/>
    <cellStyle name="Notas" xfId="83"/>
    <cellStyle name="Percent 18" xfId="84"/>
    <cellStyle name="Percent 2" xfId="85"/>
    <cellStyle name="Percent 3" xfId="86"/>
    <cellStyle name="Percent 4" xfId="87"/>
    <cellStyle name="Percent" xfId="88"/>
    <cellStyle name="Salida" xfId="89"/>
    <cellStyle name="Texto de advertencia" xfId="90"/>
    <cellStyle name="Texto explicativo" xfId="91"/>
    <cellStyle name="Título" xfId="92"/>
    <cellStyle name="Título 2" xfId="93"/>
    <cellStyle name="Título 3" xfId="94"/>
    <cellStyle name="Total"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152</xdr:col>
      <xdr:colOff>0</xdr:colOff>
      <xdr:row>51</xdr:row>
      <xdr:rowOff>0</xdr:rowOff>
    </xdr:from>
    <xdr:to>
      <xdr:col>186</xdr:col>
      <xdr:colOff>9525</xdr:colOff>
      <xdr:row>103</xdr:row>
      <xdr:rowOff>152400</xdr:rowOff>
    </xdr:to>
    <xdr:pic>
      <xdr:nvPicPr>
        <xdr:cNvPr id="1" name="Imagen 2"/>
        <xdr:cNvPicPr preferRelativeResize="1">
          <a:picLocks noChangeAspect="1"/>
        </xdr:cNvPicPr>
      </xdr:nvPicPr>
      <xdr:blipFill>
        <a:blip r:embed="rId1"/>
        <a:stretch>
          <a:fillRect/>
        </a:stretch>
      </xdr:blipFill>
      <xdr:spPr>
        <a:xfrm>
          <a:off x="22555200" y="9715500"/>
          <a:ext cx="7743825" cy="10058400"/>
        </a:xfrm>
        <a:prstGeom prst="rect">
          <a:avLst/>
        </a:prstGeom>
        <a:noFill/>
        <a:ln w="9525" cmpd="sng">
          <a:noFill/>
        </a:ln>
      </xdr:spPr>
    </xdr:pic>
    <xdr:clientData/>
  </xdr:twoCellAnchor>
  <xdr:twoCellAnchor editAs="oneCell">
    <xdr:from>
      <xdr:col>152</xdr:col>
      <xdr:colOff>0</xdr:colOff>
      <xdr:row>51</xdr:row>
      <xdr:rowOff>0</xdr:rowOff>
    </xdr:from>
    <xdr:to>
      <xdr:col>186</xdr:col>
      <xdr:colOff>9525</xdr:colOff>
      <xdr:row>103</xdr:row>
      <xdr:rowOff>152400</xdr:rowOff>
    </xdr:to>
    <xdr:pic>
      <xdr:nvPicPr>
        <xdr:cNvPr id="2" name="Imagen 4"/>
        <xdr:cNvPicPr preferRelativeResize="1">
          <a:picLocks noChangeAspect="1"/>
        </xdr:cNvPicPr>
      </xdr:nvPicPr>
      <xdr:blipFill>
        <a:blip r:embed="rId1"/>
        <a:stretch>
          <a:fillRect/>
        </a:stretch>
      </xdr:blipFill>
      <xdr:spPr>
        <a:xfrm>
          <a:off x="22555200" y="9715500"/>
          <a:ext cx="7743825" cy="10058400"/>
        </a:xfrm>
        <a:prstGeom prst="rect">
          <a:avLst/>
        </a:prstGeom>
        <a:noFill/>
        <a:ln w="9525" cmpd="sng">
          <a:noFill/>
        </a:ln>
      </xdr:spPr>
    </xdr:pic>
    <xdr:clientData/>
  </xdr:twoCellAnchor>
  <xdr:twoCellAnchor editAs="oneCell">
    <xdr:from>
      <xdr:col>152</xdr:col>
      <xdr:colOff>0</xdr:colOff>
      <xdr:row>51</xdr:row>
      <xdr:rowOff>0</xdr:rowOff>
    </xdr:from>
    <xdr:to>
      <xdr:col>186</xdr:col>
      <xdr:colOff>9525</xdr:colOff>
      <xdr:row>103</xdr:row>
      <xdr:rowOff>152400</xdr:rowOff>
    </xdr:to>
    <xdr:pic>
      <xdr:nvPicPr>
        <xdr:cNvPr id="3" name="Imagen 6"/>
        <xdr:cNvPicPr preferRelativeResize="1">
          <a:picLocks noChangeAspect="1"/>
        </xdr:cNvPicPr>
      </xdr:nvPicPr>
      <xdr:blipFill>
        <a:blip r:embed="rId1"/>
        <a:stretch>
          <a:fillRect/>
        </a:stretch>
      </xdr:blipFill>
      <xdr:spPr>
        <a:xfrm>
          <a:off x="22555200" y="9715500"/>
          <a:ext cx="7743825" cy="10058400"/>
        </a:xfrm>
        <a:prstGeom prst="rect">
          <a:avLst/>
        </a:prstGeom>
        <a:noFill/>
        <a:ln w="9525" cmpd="sng">
          <a:noFill/>
        </a:ln>
      </xdr:spPr>
    </xdr:pic>
    <xdr:clientData/>
  </xdr:twoCellAnchor>
  <xdr:twoCellAnchor editAs="oneCell">
    <xdr:from>
      <xdr:col>152</xdr:col>
      <xdr:colOff>0</xdr:colOff>
      <xdr:row>51</xdr:row>
      <xdr:rowOff>0</xdr:rowOff>
    </xdr:from>
    <xdr:to>
      <xdr:col>186</xdr:col>
      <xdr:colOff>9525</xdr:colOff>
      <xdr:row>103</xdr:row>
      <xdr:rowOff>152400</xdr:rowOff>
    </xdr:to>
    <xdr:pic>
      <xdr:nvPicPr>
        <xdr:cNvPr id="4" name="Imagen 8"/>
        <xdr:cNvPicPr preferRelativeResize="1">
          <a:picLocks noChangeAspect="1"/>
        </xdr:cNvPicPr>
      </xdr:nvPicPr>
      <xdr:blipFill>
        <a:blip r:embed="rId1"/>
        <a:stretch>
          <a:fillRect/>
        </a:stretch>
      </xdr:blipFill>
      <xdr:spPr>
        <a:xfrm>
          <a:off x="22555200" y="9715500"/>
          <a:ext cx="7743825" cy="10058400"/>
        </a:xfrm>
        <a:prstGeom prst="rect">
          <a:avLst/>
        </a:prstGeom>
        <a:noFill/>
        <a:ln w="9525" cmpd="sng">
          <a:noFill/>
        </a:ln>
      </xdr:spPr>
    </xdr:pic>
    <xdr:clientData/>
  </xdr:twoCellAnchor>
  <xdr:twoCellAnchor editAs="oneCell">
    <xdr:from>
      <xdr:col>0</xdr:col>
      <xdr:colOff>47625</xdr:colOff>
      <xdr:row>0</xdr:row>
      <xdr:rowOff>38100</xdr:rowOff>
    </xdr:from>
    <xdr:to>
      <xdr:col>8</xdr:col>
      <xdr:colOff>571500</xdr:colOff>
      <xdr:row>36</xdr:row>
      <xdr:rowOff>171450</xdr:rowOff>
    </xdr:to>
    <xdr:pic>
      <xdr:nvPicPr>
        <xdr:cNvPr id="5" name="Imagen 1"/>
        <xdr:cNvPicPr preferRelativeResize="1">
          <a:picLocks noChangeAspect="1"/>
        </xdr:cNvPicPr>
      </xdr:nvPicPr>
      <xdr:blipFill>
        <a:blip r:embed="rId2"/>
        <a:stretch>
          <a:fillRect/>
        </a:stretch>
      </xdr:blipFill>
      <xdr:spPr>
        <a:xfrm>
          <a:off x="47625" y="38100"/>
          <a:ext cx="5400675" cy="6991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 Table"/>
      <sheetName val="Sheet2"/>
      <sheetName val="Program BCRD Table"/>
      <sheetName val="Program Money Table"/>
      <sheetName val="Balance sheets"/>
      <sheetName val="Money Program"/>
      <sheetName val="IN-OUT"/>
      <sheetName val="vencimiento"/>
      <sheetName val="IN-EDSS"/>
      <sheetName val="IN_Cable"/>
      <sheetName val="IN_QuasiFiscal"/>
      <sheetName val="cuasifiscal"/>
      <sheetName val="QF Summary"/>
      <sheetName val="OLD QF Summary (2)"/>
      <sheetName val="Summary Money Table"/>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QF small table"/>
      <sheetName val="Summary Weekly"/>
      <sheetName val="QF Summary wekly"/>
      <sheetName val="QF SBA Oct 05"/>
      <sheetName val="Sheet1 (2)"/>
      <sheetName val="RED Table 25"/>
      <sheetName val="Mon Table SBA Oct 05"/>
      <sheetName val="PPM BS"/>
      <sheetName val="PPM SMT"/>
      <sheetName val="cuasifiscal projections"/>
      <sheetName val="Cuasi 2005 historical"/>
      <sheetName val="cuasifiscal historical"/>
      <sheetName val="older year Balance sheets"/>
      <sheetName val="A-II.5"/>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 val="Money_Table1"/>
      <sheetName val="Program_BCRD_Table1"/>
      <sheetName val="Program_Money_Table1"/>
      <sheetName val="Balance_sheets1"/>
      <sheetName val="Summary_Money_Table1"/>
      <sheetName val="A-II_51"/>
      <sheetName val="Money_Program1"/>
      <sheetName val="Cuasi_2005_historical1"/>
      <sheetName val="cuasifiscal_historical1"/>
      <sheetName val="cuasifiscal_projections1"/>
      <sheetName val="QF_Summary1"/>
      <sheetName val="OLD_QF_Summary_(2)1"/>
      <sheetName val="Financing_NFPS1"/>
      <sheetName val="Staff_Report_Money_Table1"/>
      <sheetName val="Monetary_aggregates1"/>
      <sheetName val="Table_Monetary_Aggregates1"/>
      <sheetName val="Small_Money_Table1"/>
      <sheetName val="older_year_Balance_sheets1"/>
      <sheetName val="RED_Table_251"/>
      <sheetName val="QF_small_table1"/>
      <sheetName val="Summary_Weekly1"/>
      <sheetName val="QF_Summary_wekly1"/>
      <sheetName val="QF_SBA_Oct_051"/>
      <sheetName val="Sheet1_(2)1"/>
      <sheetName val="Mon_Table_SBA_Oct_051"/>
      <sheetName val="PPM_BS1"/>
      <sheetName val="PPM_SMT1"/>
      <sheetName val="Money_Table2"/>
      <sheetName val="Program_BCRD_Table2"/>
      <sheetName val="Program_Money_Table2"/>
      <sheetName val="Balance_sheets2"/>
      <sheetName val="Summary_Money_Table2"/>
      <sheetName val="A-II_52"/>
      <sheetName val="Money_Program2"/>
      <sheetName val="Cuasi_2005_historical2"/>
      <sheetName val="cuasifiscal_historical2"/>
      <sheetName val="cuasifiscal_projections2"/>
      <sheetName val="QF_Summary2"/>
      <sheetName val="OLD_QF_Summary_(2)2"/>
      <sheetName val="Financing_NFPS2"/>
      <sheetName val="Staff_Report_Money_Table2"/>
      <sheetName val="Monetary_aggregates2"/>
      <sheetName val="Table_Monetary_Aggregates2"/>
      <sheetName val="Small_Money_Table2"/>
      <sheetName val="older_year_Balance_sheets2"/>
      <sheetName val="RED_Table_252"/>
      <sheetName val="QF_small_table2"/>
      <sheetName val="Summary_Weekly2"/>
      <sheetName val="QF_Summary_wekly2"/>
      <sheetName val="QF_SBA_Oct_052"/>
      <sheetName val="Sheet1_(2)2"/>
      <sheetName val="Mon_Table_SBA_Oct_052"/>
      <sheetName val="PPM_BS2"/>
      <sheetName val="PPM_SMT2"/>
      <sheetName val="Money_Table3"/>
      <sheetName val="Program_BCRD_Table3"/>
      <sheetName val="Program_Money_Table3"/>
      <sheetName val="Balance_sheets3"/>
      <sheetName val="Summary_Money_Table3"/>
      <sheetName val="A-II_53"/>
      <sheetName val="Money_Program3"/>
      <sheetName val="Cuasi_2005_historical3"/>
      <sheetName val="cuasifiscal_historical3"/>
      <sheetName val="cuasifiscal_projections3"/>
      <sheetName val="QF_Summary3"/>
      <sheetName val="OLD_QF_Summary_(2)3"/>
      <sheetName val="Financing_NFPS3"/>
      <sheetName val="Staff_Report_Money_Table3"/>
      <sheetName val="Monetary_aggregates3"/>
      <sheetName val="Table_Monetary_Aggregates3"/>
      <sheetName val="Small_Money_Table3"/>
      <sheetName val="older_year_Balance_sheets3"/>
      <sheetName val="RED_Table_253"/>
      <sheetName val="QF_small_table3"/>
      <sheetName val="Summary_Weekly3"/>
      <sheetName val="QF_Summary_wekly3"/>
      <sheetName val="QF_SBA_Oct_053"/>
      <sheetName val="Sheet1_(2)3"/>
      <sheetName val="Mon_Table_SBA_Oct_053"/>
      <sheetName val="PPM_BS3"/>
      <sheetName val="PPM_SMT3"/>
      <sheetName val="Money_Table4"/>
      <sheetName val="Program_BCRD_Table4"/>
      <sheetName val="Program_Money_Table4"/>
      <sheetName val="Balance_sheets4"/>
      <sheetName val="Summary_Money_Table4"/>
      <sheetName val="A-II_54"/>
      <sheetName val="Money_Program4"/>
      <sheetName val="Cuasi_2005_historical4"/>
      <sheetName val="cuasifiscal_historical4"/>
      <sheetName val="cuasifiscal_projections4"/>
      <sheetName val="QF_Summary4"/>
      <sheetName val="OLD_QF_Summary_(2)4"/>
      <sheetName val="Financing_NFPS4"/>
      <sheetName val="Staff_Report_Money_Table4"/>
      <sheetName val="Monetary_aggregates4"/>
      <sheetName val="Table_Monetary_Aggregates4"/>
      <sheetName val="Small_Money_Table4"/>
      <sheetName val="older_year_Balance_sheets4"/>
      <sheetName val="RED_Table_254"/>
      <sheetName val="QF_small_table4"/>
      <sheetName val="Summary_Weekly4"/>
      <sheetName val="QF_Summary_wekly4"/>
      <sheetName val="QF_SBA_Oct_054"/>
      <sheetName val="Sheet1_(2)4"/>
      <sheetName val="Mon_Table_SBA_Oct_054"/>
      <sheetName val="PPM_BS4"/>
      <sheetName val="PPM_SMT4"/>
      <sheetName val="Money_Table5"/>
      <sheetName val="Program_BCRD_Table5"/>
      <sheetName val="Program_Money_Table5"/>
      <sheetName val="Balance_sheets5"/>
      <sheetName val="Summary_Money_Table5"/>
      <sheetName val="A-II_55"/>
      <sheetName val="Money_Program5"/>
      <sheetName val="Cuasi_2005_historical5"/>
      <sheetName val="cuasifiscal_historical5"/>
      <sheetName val="cuasifiscal_projections5"/>
      <sheetName val="QF_Summary5"/>
      <sheetName val="OLD_QF_Summary_(2)5"/>
      <sheetName val="Financing_NFPS5"/>
      <sheetName val="Staff_Report_Money_Table5"/>
      <sheetName val="Monetary_aggregates5"/>
      <sheetName val="Table_Monetary_Aggregates5"/>
      <sheetName val="Small_Money_Table5"/>
      <sheetName val="older_year_Balance_sheets5"/>
      <sheetName val="RED_Table_255"/>
      <sheetName val="QF_small_table5"/>
      <sheetName val="Summary_Weekly5"/>
      <sheetName val="QF_Summary_wekly5"/>
      <sheetName val="QF_SBA_Oct_055"/>
      <sheetName val="Sheet1_(2)5"/>
      <sheetName val="Mon_Table_SBA_Oct_055"/>
      <sheetName val="PPM_BS5"/>
      <sheetName val="PPM_SMT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C_basef14_3p10_61"/>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C_basef14_3p10_6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C_basef14_3p10_63"/>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C_basef14_3p10_64"/>
      <sheetName val="Stress_03225"/>
      <sheetName val="Stress_analysis5"/>
      <sheetName val="BoP_OUT_Medium5"/>
      <sheetName val="BoP_OUT_Long5"/>
      <sheetName val="IMF_Assistance5"/>
      <sheetName val="IMF_Assistance_Old5"/>
      <sheetName val="large_projects5"/>
      <sheetName val="Terms_of_Trade5"/>
      <sheetName val="Key_Ratios5"/>
      <sheetName val="Debt_Service__Long5"/>
      <sheetName val="DebtService_to_budget5"/>
      <sheetName val="Workspace_contents5"/>
      <sheetName val="C_basef14_3p10_65"/>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 Summary"/>
      <sheetName val="D %GDP"/>
      <sheetName val="InFis2"/>
      <sheetName val="C_Summary"/>
      <sheetName val="D_%GDP"/>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C_Summary1"/>
      <sheetName val="D_%GDP1"/>
      <sheetName val="C_Summary2"/>
      <sheetName val="D_%GDP2"/>
      <sheetName val="C_Summary3"/>
      <sheetName val="D_%GDP3"/>
      <sheetName val="C_Summary4"/>
      <sheetName val="D_%GDP4"/>
      <sheetName val="C_Summary5"/>
      <sheetName val="D_%GDP5"/>
      <sheetName val="Fiscal Tables"/>
      <sheetName val="Contents"/>
      <sheetName val="E"/>
      <sheetName val="W&amp;T"/>
      <sheetName val="Countries_Master"/>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Fto__a_partir_del_impuesto1"/>
      <sheetName val="COP_FED1"/>
      <sheetName val="22_PCIAS1"/>
      <sheetName val="Tesoro_Nacional1"/>
      <sheetName val="Fondo_ATN1"/>
      <sheetName val="Coop__Eléct_1"/>
      <sheetName val="C_F_E_E_1"/>
      <sheetName val="Fto__a_partir_del_impuesto2"/>
      <sheetName val="COP_FED2"/>
      <sheetName val="22_PCIAS2"/>
      <sheetName val="Tesoro_Nacional2"/>
      <sheetName val="Fondo_ATN2"/>
      <sheetName val="Coop__Eléct_2"/>
      <sheetName val="C_F_E_E_2"/>
      <sheetName val="Fto__a_partir_del_impuesto3"/>
      <sheetName val="COP_FED3"/>
      <sheetName val="22_PCIAS3"/>
      <sheetName val="Tesoro_Nacional3"/>
      <sheetName val="Fondo_ATN3"/>
      <sheetName val="Coop__Eléct_3"/>
      <sheetName val="C_F_E_E_3"/>
      <sheetName val="Variables_Relevantes"/>
      <sheetName val="INDICADORES_PREL__PORTAL"/>
      <sheetName val="Anexo_Res_Financieros"/>
      <sheetName val="Nuevos_Cargos_Tarifarios"/>
      <sheetName val="Cargos_Tarifarios"/>
      <sheetName val="BD-Var_MacroEconomicasMensual"/>
      <sheetName val="BD-Var_MacroEconomicasTrimestre"/>
      <sheetName val="BD-Var_MacroEconomicasAnual"/>
      <sheetName val="BD-Form_InfoEDES"/>
      <sheetName val="BD-Venta_Energía"/>
      <sheetName val="BD-Transf__Gobierno_&amp;_Aportes"/>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nálisis_TC_BCRD_Diaria"/>
      <sheetName val="Aporte_MH_vs__PIB"/>
      <sheetName val="Glosario_de_Términos"/>
      <sheetName val="Fto__a_partir_del_impuesto4"/>
      <sheetName val="COP_FED4"/>
      <sheetName val="22_PCIAS4"/>
      <sheetName val="Tesoro_Nacional4"/>
      <sheetName val="Fondo_ATN4"/>
      <sheetName val="Coop__Eléct_4"/>
      <sheetName val="C_F_E_E_4"/>
      <sheetName val="Variables_Relevantes1"/>
      <sheetName val="INDICADORES_PREL__PORTAL1"/>
      <sheetName val="Anexo_Res_Financieros1"/>
      <sheetName val="Nuevos_Cargos_Tarifarios1"/>
      <sheetName val="Cargos_Tarifarios1"/>
      <sheetName val="BD-Var_MacroEconomicasMensual1"/>
      <sheetName val="BD-Var_MacroEconomicasTrimestr1"/>
      <sheetName val="BD-Var_MacroEconomicasAnual1"/>
      <sheetName val="BD-Form_InfoEDES1"/>
      <sheetName val="BD-Venta_Energía1"/>
      <sheetName val="BD-Transf__Gobierno_&amp;_Aportes1"/>
      <sheetName val="EDE's_Presupuestos1"/>
      <sheetName val="Inf__Desempeño_-_Tabla_Grafica1"/>
      <sheetName val="Inf__Desempeño_-_Graf_1"/>
      <sheetName val="Inf__Desempeño_-_Tablas_PPT1"/>
      <sheetName val="Ley_Presupuesto_20151"/>
      <sheetName val="Bono_Ley_175-121"/>
      <sheetName val="Black_Out_SENI1"/>
      <sheetName val="Resumen_Compra1"/>
      <sheetName val="BD-Inf_TCMensual1"/>
      <sheetName val="BD_Real_vs_Pres_1"/>
      <sheetName val="Presup__EDE´s1"/>
      <sheetName val="BD-Inf_Fact-Pagos1"/>
      <sheetName val="Graf_CF1"/>
      <sheetName val="Análisis_TC_BCRD_Diaria1"/>
      <sheetName val="Aporte_MH_vs__PIB1"/>
      <sheetName val="Glosario_de_Términos1"/>
      <sheetName val="Fto__a_partir_del_impuesto5"/>
      <sheetName val="COP_FED5"/>
      <sheetName val="22_PCIAS5"/>
      <sheetName val="Tesoro_Nacional5"/>
      <sheetName val="Fondo_ATN5"/>
      <sheetName val="Coop__Eléct_5"/>
      <sheetName val="C_F_E_E_5"/>
      <sheetName val="Variables_Relevantes2"/>
      <sheetName val="INDICADORES_PREL__PORTAL2"/>
      <sheetName val="Anexo_Res_Financieros2"/>
      <sheetName val="Nuevos_Cargos_Tarifarios2"/>
      <sheetName val="Cargos_Tarifarios2"/>
      <sheetName val="BD-Var_MacroEconomicasMensual2"/>
      <sheetName val="BD-Var_MacroEconomicasTrimestr2"/>
      <sheetName val="BD-Var_MacroEconomicasAnual2"/>
      <sheetName val="BD-Form_InfoEDES2"/>
      <sheetName val="BD-Venta_Energía2"/>
      <sheetName val="BD-Transf__Gobierno_&amp;_Aportes2"/>
      <sheetName val="EDE's_Presupuestos2"/>
      <sheetName val="Inf__Desempeño_-_Tabla_Grafica2"/>
      <sheetName val="Inf__Desempeño_-_Graf_2"/>
      <sheetName val="Inf__Desempeño_-_Tablas_PPT2"/>
      <sheetName val="Ley_Presupuesto_20152"/>
      <sheetName val="Bono_Ley_175-122"/>
      <sheetName val="Black_Out_SENI2"/>
      <sheetName val="Resumen_Compra2"/>
      <sheetName val="BD-Inf_TCMensual2"/>
      <sheetName val="BD_Real_vs_Pres_2"/>
      <sheetName val="Presup__EDE´s2"/>
      <sheetName val="BD-Inf_Fact-Pagos2"/>
      <sheetName val="Graf_CF2"/>
      <sheetName val="Análisis_TC_BCRD_Diaria2"/>
      <sheetName val="Aporte_MH_vs__PIB2"/>
      <sheetName val="Glosario_de_Términos2"/>
    </sheetNames>
    <sheetDataSet>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2"/>
      <sheetName val="G(Disb_)2"/>
      <sheetName val="Debt_scenario2"/>
      <sheetName val="J(Priv_Cap)2"/>
      <sheetName val="J(Fin__account)2"/>
      <sheetName val="Check_Interest1"/>
      <sheetName val="G(Disb_)1"/>
      <sheetName val="Debt_scenario1"/>
      <sheetName val="J(Priv_Cap)1"/>
      <sheetName val="J(Fin__account)1"/>
      <sheetName val="Check_Interest3"/>
      <sheetName val="G(Disb_)3"/>
      <sheetName val="Debt_scenario3"/>
      <sheetName val="J(Priv_Cap)3"/>
      <sheetName val="J(Fin__account)3"/>
      <sheetName val="Check_Interest4"/>
      <sheetName val="G(Disb_)4"/>
      <sheetName val="Debt_scenario4"/>
      <sheetName val="J(Priv_Cap)4"/>
      <sheetName val="J(Fin__account)4"/>
      <sheetName val="Check_Interest5"/>
      <sheetName val="G(Disb_)5"/>
      <sheetName val="Debt_scenario5"/>
      <sheetName val="J(Priv_Cap)5"/>
      <sheetName val="J(Fin__account)5"/>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RGDP_data1"/>
      <sheetName val="CA_data_(exact_quarters)1"/>
      <sheetName val="CA_data1"/>
      <sheetName val="K_data1"/>
      <sheetName val="Ex_Rate_Daily1"/>
      <sheetName val="RealInterest_(Country)_(other)1"/>
      <sheetName val="RealInterest_(Country)_(Defaul1"/>
      <sheetName val="RealInterest_(Country)1"/>
      <sheetName val="RealInterest_(avg)1"/>
      <sheetName val="RGDP_(country)_(%Seas)1"/>
      <sheetName val="RGDP_(avg)_(%Seas)1"/>
      <sheetName val="RGDP_(country)1"/>
      <sheetName val="RGDP_(average)1"/>
      <sheetName val="CA_(avg)_(%GDP)_(newQ)_(adj)1"/>
      <sheetName val="CA_(%_of_GDP)_(newQ)_(MAvg)1"/>
      <sheetName val="CA_(avg)_(%GDP)_(newQ)_Mavg1"/>
      <sheetName val="CA_(avg)_(change%GDP)_(newQ)1"/>
      <sheetName val="CA_(%_of_GDP)_(newQ)1"/>
      <sheetName val="CA_(avg)_(%GDP)_(newQ)1"/>
      <sheetName val="CA_(avg)_(change%GDP)1"/>
      <sheetName val="CA_(change%_of_GDP)1"/>
      <sheetName val="CA_(avg)_(%GDP)1"/>
      <sheetName val="CA_(%_of_GDP)1"/>
      <sheetName val="K_Liab_(avg)1"/>
      <sheetName val="K_Liab_(country)1"/>
      <sheetName val="K_Liab_less_FDI_(country)1"/>
      <sheetName val="K_Liab_less_FDI_(avg)1"/>
      <sheetName val="Primary_Balance_(avg)1"/>
      <sheetName val="Interest_(%_of_GDP)1"/>
      <sheetName val="Interest_(avg)_(%GDP)1"/>
      <sheetName val="Interest_(Change%GDP)1"/>
      <sheetName val="Interest_(avg)_(Change%GDP)1"/>
      <sheetName val="PrimBal_(Change%GDP)1"/>
      <sheetName val="PrimBal_(avg)_(Change%GDP)1"/>
      <sheetName val="PrimBal_(%_of_GDP)1"/>
      <sheetName val="PrimBal_(avg)_(%GDP)1"/>
      <sheetName val="PrimBal_(avg)1"/>
      <sheetName val="NomExRate_Daily_Default1"/>
      <sheetName val="NomExRate_Daily1"/>
      <sheetName val="Ex_rate_bloom1"/>
      <sheetName val="REER_(avg)1"/>
      <sheetName val="NomExRate_(avg)1"/>
      <sheetName val="Inflation_(avg)1"/>
      <sheetName val="New_Data1"/>
      <sheetName val="ex_rate1"/>
      <sheetName val="Int_Reserves1"/>
      <sheetName val="Int_Reserves_(scale_t-24)1"/>
      <sheetName val="Int_Reserves_(scale_t)1"/>
      <sheetName val="Int_Reserves_(scale_t)_res_onl1"/>
      <sheetName val="Int_Reserves_(scale_t)_(%gdp)1"/>
      <sheetName val="Int_Reserves_scale_t_%gdp_rest1"/>
      <sheetName val="Int_Reserves_(scale_t)_(avg)1"/>
      <sheetName val="Int_Reserves_(scale_t)_(avg_gd1"/>
      <sheetName val="Deposits_(scale_t)_(avg_(2)1"/>
      <sheetName val="Deposits_(scale_t)1"/>
      <sheetName val="Int_Reserves_USD1"/>
      <sheetName val="RGDP_data2"/>
      <sheetName val="CA_data_(exact_quarters)2"/>
      <sheetName val="CA_data2"/>
      <sheetName val="K_data2"/>
      <sheetName val="Ex_Rate_Daily2"/>
      <sheetName val="RealInterest_(Country)_(other)2"/>
      <sheetName val="RealInterest_(Country)_(Defaul2"/>
      <sheetName val="RealInterest_(Country)2"/>
      <sheetName val="RealInterest_(avg)2"/>
      <sheetName val="RGDP_(country)_(%Seas)2"/>
      <sheetName val="RGDP_(avg)_(%Seas)2"/>
      <sheetName val="RGDP_(country)2"/>
      <sheetName val="RGDP_(average)2"/>
      <sheetName val="CA_(avg)_(%GDP)_(newQ)_(adj)2"/>
      <sheetName val="CA_(%_of_GDP)_(newQ)_(MAvg)2"/>
      <sheetName val="CA_(avg)_(%GDP)_(newQ)_Mavg2"/>
      <sheetName val="CA_(avg)_(change%GDP)_(newQ)2"/>
      <sheetName val="CA_(%_of_GDP)_(newQ)2"/>
      <sheetName val="CA_(avg)_(%GDP)_(newQ)2"/>
      <sheetName val="CA_(avg)_(change%GDP)2"/>
      <sheetName val="CA_(change%_of_GDP)2"/>
      <sheetName val="CA_(avg)_(%GDP)2"/>
      <sheetName val="CA_(%_of_GDP)2"/>
      <sheetName val="K_Liab_(avg)2"/>
      <sheetName val="K_Liab_(country)2"/>
      <sheetName val="K_Liab_less_FDI_(country)2"/>
      <sheetName val="K_Liab_less_FDI_(avg)2"/>
      <sheetName val="Primary_Balance_(avg)2"/>
      <sheetName val="Interest_(%_of_GDP)2"/>
      <sheetName val="Interest_(avg)_(%GDP)2"/>
      <sheetName val="Interest_(Change%GDP)2"/>
      <sheetName val="Interest_(avg)_(Change%GDP)2"/>
      <sheetName val="PrimBal_(Change%GDP)2"/>
      <sheetName val="PrimBal_(avg)_(Change%GDP)2"/>
      <sheetName val="PrimBal_(%_of_GDP)2"/>
      <sheetName val="PrimBal_(avg)_(%GDP)2"/>
      <sheetName val="PrimBal_(avg)2"/>
      <sheetName val="NomExRate_Daily_Default2"/>
      <sheetName val="NomExRate_Daily2"/>
      <sheetName val="Ex_rate_bloom2"/>
      <sheetName val="REER_(avg)2"/>
      <sheetName val="NomExRate_(avg)2"/>
      <sheetName val="Inflation_(avg)2"/>
      <sheetName val="New_Data2"/>
      <sheetName val="ex_rate2"/>
      <sheetName val="Int_Reserves2"/>
      <sheetName val="Int_Reserves_(scale_t-24)2"/>
      <sheetName val="Int_Reserves_(scale_t)2"/>
      <sheetName val="Int_Reserves_(scale_t)_res_onl2"/>
      <sheetName val="Int_Reserves_(scale_t)_(%gdp)2"/>
      <sheetName val="Int_Reserves_scale_t_%gdp_rest2"/>
      <sheetName val="Int_Reserves_(scale_t)_(avg)2"/>
      <sheetName val="Int_Reserves_(scale_t)_(avg_gd2"/>
      <sheetName val="Deposits_(scale_t)_(avg_(2)2"/>
      <sheetName val="Deposits_(scale_t)2"/>
      <sheetName val="Int_Reserves_USD2"/>
      <sheetName val="RGDP_data3"/>
      <sheetName val="CA_data_(exact_quarters)3"/>
      <sheetName val="CA_data3"/>
      <sheetName val="K_data3"/>
      <sheetName val="Ex_Rate_Daily3"/>
      <sheetName val="RealInterest_(Country)_(other)3"/>
      <sheetName val="RealInterest_(Country)_(Defaul3"/>
      <sheetName val="RealInterest_(Country)3"/>
      <sheetName val="RealInterest_(avg)3"/>
      <sheetName val="RGDP_(country)_(%Seas)3"/>
      <sheetName val="RGDP_(avg)_(%Seas)3"/>
      <sheetName val="RGDP_(country)3"/>
      <sheetName val="RGDP_(average)3"/>
      <sheetName val="CA_(avg)_(%GDP)_(newQ)_(adj)3"/>
      <sheetName val="CA_(%_of_GDP)_(newQ)_(MAvg)3"/>
      <sheetName val="CA_(avg)_(%GDP)_(newQ)_Mavg3"/>
      <sheetName val="CA_(avg)_(change%GDP)_(newQ)3"/>
      <sheetName val="CA_(%_of_GDP)_(newQ)3"/>
      <sheetName val="CA_(avg)_(%GDP)_(newQ)3"/>
      <sheetName val="CA_(avg)_(change%GDP)3"/>
      <sheetName val="CA_(change%_of_GDP)3"/>
      <sheetName val="CA_(avg)_(%GDP)3"/>
      <sheetName val="CA_(%_of_GDP)3"/>
      <sheetName val="K_Liab_(avg)3"/>
      <sheetName val="K_Liab_(country)3"/>
      <sheetName val="K_Liab_less_FDI_(country)3"/>
      <sheetName val="K_Liab_less_FDI_(avg)3"/>
      <sheetName val="Primary_Balance_(avg)3"/>
      <sheetName val="Interest_(%_of_GDP)3"/>
      <sheetName val="Interest_(avg)_(%GDP)3"/>
      <sheetName val="Interest_(Change%GDP)3"/>
      <sheetName val="Interest_(avg)_(Change%GDP)3"/>
      <sheetName val="PrimBal_(Change%GDP)3"/>
      <sheetName val="PrimBal_(avg)_(Change%GDP)3"/>
      <sheetName val="PrimBal_(%_of_GDP)3"/>
      <sheetName val="PrimBal_(avg)_(%GDP)3"/>
      <sheetName val="PrimBal_(avg)3"/>
      <sheetName val="NomExRate_Daily_Default3"/>
      <sheetName val="NomExRate_Daily3"/>
      <sheetName val="Ex_rate_bloom3"/>
      <sheetName val="REER_(avg)3"/>
      <sheetName val="NomExRate_(avg)3"/>
      <sheetName val="Inflation_(avg)3"/>
      <sheetName val="New_Data3"/>
      <sheetName val="ex_rate3"/>
      <sheetName val="Int_Reserves3"/>
      <sheetName val="Int_Reserves_(scale_t-24)3"/>
      <sheetName val="Int_Reserves_(scale_t)3"/>
      <sheetName val="Int_Reserves_(scale_t)_res_onl3"/>
      <sheetName val="Int_Reserves_(scale_t)_(%gdp)3"/>
      <sheetName val="Int_Reserves_scale_t_%gdp_rest3"/>
      <sheetName val="Int_Reserves_(scale_t)_(avg)3"/>
      <sheetName val="Int_Reserves_(scale_t)_(avg_gd3"/>
      <sheetName val="Deposits_(scale_t)_(avg_(2)3"/>
      <sheetName val="Deposits_(scale_t)3"/>
      <sheetName val="Int_Reserves_USD3"/>
      <sheetName val="RGDP_data4"/>
      <sheetName val="CA_data_(exact_quarters)4"/>
      <sheetName val="CA_data4"/>
      <sheetName val="K_data4"/>
      <sheetName val="Ex_Rate_Daily4"/>
      <sheetName val="RealInterest_(Country)_(other)4"/>
    </sheetNames>
    <sheetDataSet>
      <sheetData sheetId="47">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_Interest2"/>
      <sheetName val="G(Disb_)2"/>
      <sheetName val="Debt_scenario2"/>
      <sheetName val="J(Priv_Cap)2"/>
      <sheetName val="J(Fin__account)2"/>
      <sheetName val="Check_Interest3"/>
      <sheetName val="G(Disb_)3"/>
      <sheetName val="Debt_scenario3"/>
      <sheetName val="J(Priv_Cap)3"/>
      <sheetName val="J(Fin__account)3"/>
      <sheetName val="Check_Interest4"/>
      <sheetName val="G(Disb_)4"/>
      <sheetName val="Debt_scenario4"/>
      <sheetName val="J(Priv_Cap)4"/>
      <sheetName val="J(Fin__account)4"/>
      <sheetName val="Check_Interest5"/>
      <sheetName val="G(Disb_)5"/>
      <sheetName val="Debt_scenario5"/>
      <sheetName val="J(Priv_Cap)5"/>
      <sheetName val="J(Fin__account)5"/>
      <sheetName val="Sheet4"/>
      <sheetName val="Q4"/>
      <sheetName val="DA"/>
      <sheetName val="RED-GDP"/>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_Interest2"/>
      <sheetName val="G(Disb_)2"/>
      <sheetName val="Debt_scenario2"/>
      <sheetName val="J(Priv_Cap)2"/>
      <sheetName val="J(Fin__account)2"/>
      <sheetName val="Check_Interest3"/>
      <sheetName val="G(Disb_)3"/>
      <sheetName val="Debt_scenario3"/>
      <sheetName val="J(Priv_Cap)3"/>
      <sheetName val="J(Fin__account)3"/>
      <sheetName val="Check_Interest4"/>
      <sheetName val="G(Disb_)4"/>
      <sheetName val="Debt_scenario4"/>
      <sheetName val="J(Priv_Cap)4"/>
      <sheetName val="J(Fin__account)4"/>
      <sheetName val="Check_Interest5"/>
      <sheetName val="G(Disb_)5"/>
      <sheetName val="Debt_scenario5"/>
      <sheetName val="J(Priv_Cap)5"/>
      <sheetName val="J(Fin__account)5"/>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Q5"/>
      <sheetName val="bop1datos rev"/>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Sheet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Basic_Data_1"/>
      <sheetName val="Basic_Data_2"/>
      <sheetName val="Basic_Data_3"/>
      <sheetName val="Basic_Data_4"/>
      <sheetName val="Basic_Data_5"/>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2"/>
      <sheetName val="G(Disb_)2"/>
      <sheetName val="Debt_scenario2"/>
      <sheetName val="J(Priv_Cap)2"/>
      <sheetName val="J(Fin__account)2"/>
      <sheetName val="Check_Interest1"/>
      <sheetName val="G(Disb_)1"/>
      <sheetName val="Debt_scenario1"/>
      <sheetName val="J(Priv_Cap)1"/>
      <sheetName val="J(Fin__account)1"/>
      <sheetName val="Check_Interest3"/>
      <sheetName val="G(Disb_)3"/>
      <sheetName val="Debt_scenario3"/>
      <sheetName val="J(Priv_Cap)3"/>
      <sheetName val="J(Fin__account)3"/>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Check_Interest4"/>
      <sheetName val="G(Disb_)4"/>
      <sheetName val="Debt_scenario4"/>
      <sheetName val="J(Priv_Cap)4"/>
      <sheetName val="J(Fin__account)4"/>
      <sheetName val="Sheet4"/>
      <sheetName val="Q4"/>
      <sheetName val="DA"/>
      <sheetName val="RED-GDP"/>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 val="Evolución_Flujo_de_Caja_EDE's1"/>
      <sheetName val="Resumen_CF_EDE's_(2)1"/>
      <sheetName val="Evolución_Res_Financieros1"/>
      <sheetName val="Control_de_Variables1"/>
      <sheetName val="FMI_-_Tabla_8_(Consolidado)1"/>
      <sheetName val="Evolución_Tabla81"/>
      <sheetName val="Anexo_Res_Financieros1"/>
      <sheetName val="Res_Financieros_General1"/>
      <sheetName val="Informe_Opex1"/>
      <sheetName val="Informe_Var_Eco_1"/>
      <sheetName val="Resumen_Tabla_81"/>
      <sheetName val="Resumen_Res__Financiero1"/>
      <sheetName val="Resumen_CF_EDE's1"/>
      <sheetName val="Resumen_CF_Ede's_&amp;_Cdeee1"/>
      <sheetName val="Anexo_Deuda_Feb-121"/>
      <sheetName val="Anexo_Deuda_Mar-121"/>
      <sheetName val="Anexo_Deuda_Abr-121"/>
      <sheetName val="Anexo_Deuda_Oct-121"/>
      <sheetName val="Anexo_Deuda_Ene-121"/>
      <sheetName val="Anexo_Deuda_May-121"/>
      <sheetName val="Anexo_Deuda_Jun-121"/>
      <sheetName val="Anexo_Deuda_Jul-121"/>
      <sheetName val="Anexo_Deuda_Nov-121"/>
      <sheetName val="Anexo_Deuda_Dic-121"/>
      <sheetName val="Anexo_Deuda_Feb-131"/>
      <sheetName val="Anexo_Deuda_Abr131"/>
      <sheetName val="Anexo_Deuda_May131"/>
      <sheetName val="Anexo_Deuda_Jun131"/>
      <sheetName val="Anexo_Deuda_Oct131"/>
      <sheetName val="Anexo_Deuda_Sep131"/>
      <sheetName val="Anexo_Deuda_Ago131"/>
      <sheetName val="Anexo_Deuda_Jul131"/>
      <sheetName val="Anexo_Tarifas1"/>
      <sheetName val="Para_Indicadores1"/>
      <sheetName val="Variables_Relevantes1"/>
      <sheetName val="CF_EDENORTE1"/>
      <sheetName val="CF_EDESUR1"/>
      <sheetName val="CF_EDEESTE1"/>
      <sheetName val="CF_CDEEE1"/>
      <sheetName val="CF_EGEHID1"/>
      <sheetName val="CF_ETED1"/>
      <sheetName val="Aportes,_Prest__&amp;_Refidomsa1"/>
      <sheetName val="Stock_Deudas1"/>
      <sheetName val="Fact__y_Pagos_GenCo's1"/>
      <sheetName val="Pagos_GenCo's_x_fuentes1"/>
      <sheetName val="Interés_EDE's1"/>
      <sheetName val="Interés_Deudas1"/>
      <sheetName val="Inversiones_-_Proyectos1"/>
      <sheetName val="Rehab_Redes1"/>
      <sheetName val="Inversiones_-_Proyectos_(2)1"/>
      <sheetName val="Resumen_Banco1"/>
      <sheetName val="Tasa_de_Cambio1"/>
      <sheetName val="Datos_Informe-Opex1"/>
      <sheetName val="Base_de_Datos-Opex1"/>
      <sheetName val="Comp-Vta_Energía_CDEEE1"/>
      <sheetName val="Gen_y_Fact_Energía_EGEHID1"/>
      <sheetName val="LAESA_y_GSF1"/>
      <sheetName val="Desembolsos_Inversiones1"/>
      <sheetName val="Proyecto_Presupuesto_20131"/>
      <sheetName val="Proyecto_Presupuesto_20141"/>
      <sheetName val="Presupuesto_2013vs2014_1"/>
      <sheetName val="Bono_Ley_175-121"/>
      <sheetName val="Dist__Factoring_Dic_20121"/>
      <sheetName val="Dist__Prest__Sindicado_20131"/>
      <sheetName val="Desglose_Inversión_EGEHID1"/>
      <sheetName val="Informe_Desempeño_-_Gráficas1"/>
      <sheetName val="Inf__Desempeño_-_Tabla_Grafica1"/>
      <sheetName val="Inf__Desempeño_-_Tablas_PPT1"/>
      <sheetName val="Evolución_Combus-CPI-TasaCambi1"/>
      <sheetName val="Gráficas_Mensuales1"/>
      <sheetName val="Gráficas_Comparativo_Años1"/>
      <sheetName val="Gráficas_Período1"/>
      <sheetName val="Gráficas_Anuales1"/>
      <sheetName val="Sheet2_(2)1"/>
      <sheetName val="Evo__FC_EDE's1"/>
      <sheetName val="Evo__RF_EDE's1"/>
      <sheetName val="Relacion_Pagos_GenCo's1"/>
      <sheetName val="Gráficas_y_Tablas_Presentacion1"/>
      <sheetName val="Anexo_Deuda_Feb141"/>
      <sheetName val="Anexo_Deuda_Dic131"/>
      <sheetName val="Anexo_Deuda_Nov131"/>
      <sheetName val="Anexo_Nuevo_Formato_Tarifas1"/>
      <sheetName val="Proy__Rehab__Redes1"/>
      <sheetName val="Pagos_a_GenCo's1"/>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 val="BD-Transf__Gobierno_&amp;_Aportes1"/>
      <sheetName val="SFN-No_borrar1"/>
      <sheetName val="Variables_Relevantes1"/>
      <sheetName val="Anexo_Res_Financieros1"/>
      <sheetName val="Nuevos_Cargos_Tarifarios1"/>
      <sheetName val="Cargos_Tarifarios1"/>
      <sheetName val="Análisis_Aportes_MH1"/>
      <sheetName val="Análisis_Tasa_de_Cambio1"/>
      <sheetName val="Análisis_TC_BCRD_Diaria1"/>
      <sheetName val="TC_Mensual_(Email)_1"/>
      <sheetName val="Análisis_Telemedición1"/>
      <sheetName val="Evolutivos_Gráficos1"/>
      <sheetName val="BD-Graf_Evo_1"/>
      <sheetName val="BD-Var_MacroEconomicasMensual1"/>
      <sheetName val="BD-Var_MacroEconomicasTrimestr1"/>
      <sheetName val="BD-Var_MacroEconomicasAnual1"/>
      <sheetName val="BD-Form_InfoEDES1"/>
      <sheetName val="BD-Venta_Energía1"/>
      <sheetName val="EDE's_Presupuestos1"/>
      <sheetName val="Inf__Desempeño_-_Tabla_Grafica1"/>
      <sheetName val="Inf__Desempeño_-_Graf_1"/>
      <sheetName val="Inf__Desempeño_-_Tablas_PPT1"/>
      <sheetName val="Ley_Presupuesto_20151"/>
      <sheetName val="Bono_Ley_175-121"/>
      <sheetName val="Black_Out_SENI1"/>
      <sheetName val="Resumen_Compra1"/>
      <sheetName val="BD-Inf_TCMensual1"/>
      <sheetName val="BD_Real_vs_Pres_1"/>
      <sheetName val="Presup__EDE´s1"/>
      <sheetName val="BD-Inf_Fact-Pagos1"/>
      <sheetName val="Graf_CF1"/>
      <sheetName val="Aporte_MH_vs__PIB1"/>
      <sheetName val="Glosario_de_Términos1"/>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 val="Variables_Relevantes1"/>
      <sheetName val="Anexo_Res_Financieros1"/>
      <sheetName val="Anexo_Deuda_Mar141"/>
      <sheetName val="Nuevos_Cargos_Tarifarios1"/>
      <sheetName val="Cargos_Tarifarios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 val="Variables_Relevantes1"/>
      <sheetName val="Anexo_Res_Financieros1"/>
      <sheetName val="Anexo_Deuda_Jun141"/>
      <sheetName val="Nuevos_Cargos_Tarifarios1"/>
      <sheetName val="Cargos_Tarifarios1"/>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Q5"/>
      <sheetName val="bop1datos rev"/>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 val="Cuadro_programa_20032"/>
      <sheetName val="Gasto_unidad_proy2"/>
      <sheetName val="cuadro_version_2_programa_20032"/>
      <sheetName val="Cuadro_final_programa_20032"/>
      <sheetName val="Sheet1_(2)2"/>
      <sheetName val="Gobierno_General_RESUMEN2"/>
      <sheetName val="Cuadro_V2"/>
      <sheetName val="Cuadro_VI2"/>
      <sheetName val="Cuadro_VII2"/>
      <sheetName val="Cuadro_VIII2"/>
      <sheetName val="Cuadro_IX2"/>
      <sheetName val="Cuadro_X2"/>
      <sheetName val="Cuadro_XI2"/>
      <sheetName val="CUADROS_XII2"/>
      <sheetName val="Cuadro_programa_20031"/>
      <sheetName val="Gasto_unidad_proy1"/>
      <sheetName val="cuadro_version_2_programa_20031"/>
      <sheetName val="Cuadro_final_programa_20031"/>
      <sheetName val="Sheet1_(2)1"/>
      <sheetName val="Gobierno_General_RESUMEN1"/>
      <sheetName val="Cuadro_V1"/>
      <sheetName val="Cuadro_VI1"/>
      <sheetName val="Cuadro_VII1"/>
      <sheetName val="Cuadro_VIII1"/>
      <sheetName val="Cuadro_IX1"/>
      <sheetName val="Cuadro_X1"/>
      <sheetName val="Cuadro_XI1"/>
      <sheetName val="CUADROS_XII1"/>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Cuadro_programa_20033"/>
      <sheetName val="Gasto_unidad_proy3"/>
      <sheetName val="cuadro_version_2_programa_20033"/>
      <sheetName val="Cuadro_final_programa_20033"/>
      <sheetName val="Sheet1_(2)3"/>
      <sheetName val="Gobierno_General_RESUMEN3"/>
      <sheetName val="Cuadro_V3"/>
      <sheetName val="Cuadro_VI3"/>
      <sheetName val="Cuadro_VII3"/>
      <sheetName val="Cuadro_VIII3"/>
      <sheetName val="Cuadro_IX3"/>
      <sheetName val="Cuadro_X3"/>
      <sheetName val="Cuadro_XI3"/>
      <sheetName val="CUADROS_XII3"/>
      <sheetName val="Cuadro_programa_20034"/>
      <sheetName val="Gasto_unidad_proy4"/>
      <sheetName val="cuadro_version_2_programa_20034"/>
      <sheetName val="Cuadro_final_programa_20034"/>
      <sheetName val="Sheet1_(2)4"/>
      <sheetName val="Gobierno_General_RESUMEN4"/>
      <sheetName val="Cuadro_V4"/>
      <sheetName val="Cuadro_VI4"/>
      <sheetName val="Cuadro_VII4"/>
      <sheetName val="Cuadro_VIII4"/>
      <sheetName val="Cuadro_IX4"/>
      <sheetName val="Cuadro_X4"/>
      <sheetName val="Cuadro_XI4"/>
      <sheetName val="CUADROS_XII4"/>
      <sheetName val="Variables_Relevantes"/>
      <sheetName val="INDICADORES_PREL__PORTAL"/>
      <sheetName val="Anexo_Res_Financieros"/>
      <sheetName val="Nuevos_Cargos_Tarifarios"/>
      <sheetName val="Cargos_Tarifarios"/>
      <sheetName val="BD-Var_MacroEconomicasMensual"/>
      <sheetName val="BD-Var_MacroEconomicasTrimestre"/>
      <sheetName val="BD-Var_MacroEconomicasAnual"/>
      <sheetName val="BD-Form_InfoEDES"/>
      <sheetName val="BD-Venta_Energía"/>
      <sheetName val="BD-Transf__Gobierno_&amp;_Aportes"/>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nálisis_TC_BCRD_Diaria"/>
      <sheetName val="Aporte_MH_vs__PIB"/>
      <sheetName val="Glosario_de_Términos"/>
      <sheetName val="Cuadro_programa_20035"/>
      <sheetName val="Gasto_unidad_proy5"/>
      <sheetName val="cuadro_version_2_programa_20035"/>
      <sheetName val="Cuadro_final_programa_20035"/>
      <sheetName val="Sheet1_(2)5"/>
      <sheetName val="Gobierno_General_RESUMEN5"/>
      <sheetName val="Cuadro_V5"/>
      <sheetName val="Cuadro_VI5"/>
      <sheetName val="Cuadro_VII5"/>
      <sheetName val="Cuadro_VIII5"/>
      <sheetName val="Cuadro_IX5"/>
      <sheetName val="Cuadro_X5"/>
      <sheetName val="Cuadro_XI5"/>
      <sheetName val="CUADROS_XII5"/>
      <sheetName val="Variables_Relevantes1"/>
      <sheetName val="INDICADORES_PREL__PORTAL1"/>
      <sheetName val="Anexo_Res_Financieros1"/>
      <sheetName val="Nuevos_Cargos_Tarifarios1"/>
      <sheetName val="Cargos_Tarifarios1"/>
      <sheetName val="BD-Var_MacroEconomicasMensual1"/>
      <sheetName val="BD-Var_MacroEconomicasTrimestr1"/>
      <sheetName val="BD-Var_MacroEconomicasAnual1"/>
      <sheetName val="BD-Form_InfoEDES1"/>
      <sheetName val="BD-Venta_Energía1"/>
      <sheetName val="BD-Transf__Gobierno_&amp;_Aportes1"/>
      <sheetName val="EDE's_Presupuestos1"/>
      <sheetName val="Inf__Desempeño_-_Tabla_Grafica1"/>
      <sheetName val="Inf__Desempeño_-_Graf_1"/>
      <sheetName val="Inf__Desempeño_-_Tablas_PPT1"/>
      <sheetName val="Ley_Presupuesto_20151"/>
      <sheetName val="Bono_Ley_175-121"/>
      <sheetName val="Black_Out_SENI1"/>
      <sheetName val="Resumen_Compra1"/>
      <sheetName val="BD-Inf_TCMensual1"/>
      <sheetName val="BD_Real_vs_Pres_1"/>
      <sheetName val="Presup__EDE´s1"/>
      <sheetName val="BD-Inf_Fact-Pagos1"/>
      <sheetName val="Graf_CF1"/>
      <sheetName val="Análisis_TC_BCRD_Diaria1"/>
      <sheetName val="Aporte_MH_vs__PIB1"/>
      <sheetName val="Glosario_de_Términos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WEO_Ass1"/>
      <sheetName val="vul-ind_SRversion1"/>
      <sheetName val="vul-ind_PDRversion1"/>
      <sheetName val="BOP_Stress_1"/>
      <sheetName val="Inv__Income1"/>
      <sheetName val="SA-Tab_271"/>
      <sheetName val="SA-Tab_281"/>
      <sheetName val="SA_Tab_291"/>
      <sheetName val="SA_Tab_301"/>
      <sheetName val="Oper_Budg_1"/>
      <sheetName val="Old_Summ_BoP1"/>
      <sheetName val="Old_Brf-Tbl1"/>
      <sheetName val="WEO_Ass2"/>
      <sheetName val="vul-ind_SRversion2"/>
      <sheetName val="vul-ind_PDRversion2"/>
      <sheetName val="BOP_Stress_2"/>
      <sheetName val="Inv__Income2"/>
      <sheetName val="SA-Tab_272"/>
      <sheetName val="SA-Tab_282"/>
      <sheetName val="SA_Tab_292"/>
      <sheetName val="SA_Tab_302"/>
      <sheetName val="Oper_Budg_2"/>
      <sheetName val="Old_Summ_BoP2"/>
      <sheetName val="Old_Brf-Tbl2"/>
      <sheetName val="WEO_Ass3"/>
      <sheetName val="vul-ind_SRversion3"/>
      <sheetName val="vul-ind_PDRversion3"/>
      <sheetName val="BOP_Stress_3"/>
      <sheetName val="Inv__Income3"/>
      <sheetName val="SA-Tab_273"/>
      <sheetName val="SA-Tab_283"/>
      <sheetName val="SA_Tab_293"/>
      <sheetName val="SA_Tab_303"/>
      <sheetName val="Oper_Budg_3"/>
      <sheetName val="Old_Summ_BoP3"/>
      <sheetName val="Old_Brf-Tbl3"/>
      <sheetName val="WEO_Ass4"/>
      <sheetName val="vul-ind_SRversion4"/>
      <sheetName val="vul-ind_PDRversion4"/>
      <sheetName val="BOP_Stress_4"/>
      <sheetName val="Inv__Income4"/>
      <sheetName val="SA-Tab_274"/>
      <sheetName val="SA-Tab_284"/>
      <sheetName val="SA_Tab_294"/>
      <sheetName val="SA_Tab_304"/>
      <sheetName val="Oper_Budg_4"/>
      <sheetName val="Old_Summ_BoP4"/>
      <sheetName val="Old_Brf-Tbl4"/>
      <sheetName val="WEO_Ass5"/>
      <sheetName val="vul-ind_SRversion5"/>
      <sheetName val="vul-ind_PDRversion5"/>
      <sheetName val="BOP_Stress_5"/>
      <sheetName val="Inv__Income5"/>
      <sheetName val="SA-Tab_275"/>
      <sheetName val="SA-Tab_285"/>
      <sheetName val="SA_Tab_295"/>
      <sheetName val="SA_Tab_305"/>
      <sheetName val="Oper_Budg_5"/>
      <sheetName val="Old_Summ_BoP5"/>
      <sheetName val="Old_Brf-Tbl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 data"/>
      <sheetName val="gas013003"/>
      <sheetName val="GEE0013003"/>
      <sheetName val="gas102802"/>
      <sheetName val="GEE0102802"/>
      <sheetName val="shared_data"/>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shared_data1"/>
      <sheetName val="shared_data2"/>
      <sheetName val="shared_data3"/>
      <sheetName val="shared_data4"/>
      <sheetName val="shared_data5"/>
      <sheetName val="gas112601"/>
      <sheetName val="GEE10230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Portada_Cont__EDE-SUR1"/>
      <sheetName val="Detalle_de_Precios_EDE-SUR1"/>
      <sheetName val="Portada_Cont___EDE-NORTE1"/>
      <sheetName val="Detalle_de_Precios_EDE-NORTE1"/>
      <sheetName val="Portada_Cont__EDE-ESTE1"/>
      <sheetName val="Detalle_de_Precios_EDE-ESTE1"/>
      <sheetName val="Resumen_Transacciones1"/>
      <sheetName val="Platts_Jul-001"/>
      <sheetName val="Portada_Spot__EDE-SUR1"/>
      <sheetName val="Portada_Spot__EDE-NORTE1"/>
      <sheetName val="Portada_Spot__EDE-ESTE1"/>
      <sheetName val="Portada_Spot__EDE-HAINA1"/>
      <sheetName val="Portada_Spot__EDE-PALAMARA1"/>
      <sheetName val="Portada_Cont__EDE-SUR2"/>
      <sheetName val="Detalle_de_Precios_EDE-SUR2"/>
      <sheetName val="Portada_Cont___EDE-NORTE2"/>
      <sheetName val="Detalle_de_Precios_EDE-NORTE2"/>
      <sheetName val="Portada_Cont__EDE-ESTE2"/>
      <sheetName val="Detalle_de_Precios_EDE-ESTE2"/>
      <sheetName val="Resumen_Transacciones2"/>
      <sheetName val="Platts_Jul-002"/>
      <sheetName val="Portada_Spot__EDE-SUR2"/>
      <sheetName val="Portada_Spot__EDE-NORTE2"/>
      <sheetName val="Portada_Spot__EDE-ESTE2"/>
      <sheetName val="Portada_Spot__EDE-HAINA2"/>
      <sheetName val="Portada_Spot__EDE-PALAMARA2"/>
      <sheetName val="Portada_Cont__EDE-SUR3"/>
      <sheetName val="Detalle_de_Precios_EDE-SUR3"/>
      <sheetName val="Portada_Cont___EDE-NORTE3"/>
      <sheetName val="Detalle_de_Precios_EDE-NORTE3"/>
      <sheetName val="Portada_Cont__EDE-ESTE3"/>
      <sheetName val="Detalle_de_Precios_EDE-ESTE3"/>
      <sheetName val="Resumen_Transacciones3"/>
      <sheetName val="Platts_Jul-003"/>
      <sheetName val="Portada_Spot__EDE-SUR3"/>
      <sheetName val="Portada_Spot__EDE-NORTE3"/>
      <sheetName val="Portada_Spot__EDE-ESTE3"/>
      <sheetName val="Portada_Spot__EDE-HAINA3"/>
      <sheetName val="Portada_Spot__EDE-PALAMARA3"/>
      <sheetName val="Portada_Cont__EDE-SUR4"/>
      <sheetName val="Detalle_de_Precios_EDE-SUR4"/>
      <sheetName val="Portada_Cont___EDE-NORTE4"/>
      <sheetName val="Detalle_de_Precios_EDE-NORTE4"/>
      <sheetName val="Portada_Cont__EDE-ESTE4"/>
      <sheetName val="Detalle_de_Precios_EDE-ESTE4"/>
      <sheetName val="Resumen_Transacciones4"/>
      <sheetName val="Platts_Jul-004"/>
      <sheetName val="Portada_Spot__EDE-SUR4"/>
      <sheetName val="Portada_Spot__EDE-NORTE4"/>
      <sheetName val="Portada_Spot__EDE-ESTE4"/>
      <sheetName val="Portada_Spot__EDE-HAINA4"/>
      <sheetName val="Portada_Spot__EDE-PALAMARA4"/>
      <sheetName val="Portada_Cont__EDE-SUR5"/>
      <sheetName val="Detalle_de_Precios_EDE-SUR5"/>
      <sheetName val="Portada_Cont___EDE-NORTE5"/>
      <sheetName val="Detalle_de_Precios_EDE-NORTE5"/>
      <sheetName val="Portada_Cont__EDE-ESTE5"/>
      <sheetName val="Detalle_de_Precios_EDE-ESTE5"/>
      <sheetName val="Resumen_Transacciones5"/>
      <sheetName val="Platts_Jul-005"/>
      <sheetName val="Portada_Spot__EDE-SUR5"/>
      <sheetName val="Portada_Spot__EDE-NORTE5"/>
      <sheetName val="Portada_Spot__EDE-ESTE5"/>
      <sheetName val="Portada_Spot__EDE-HAINA5"/>
      <sheetName val="Portada_Spot__EDE-PALAMARA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Ext_debt1"/>
      <sheetName val="Ext_debt2"/>
      <sheetName val="Ext_debt3"/>
      <sheetName val="Ext_debt4"/>
      <sheetName val="Ext_debt5"/>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 val="Portada_Cont__EDE-SUR2"/>
      <sheetName val="Detalle_de_Precios_EDE-SUR2"/>
      <sheetName val="Portada_Cont___EDE-NORTE2"/>
      <sheetName val="Detalle_de_Precios_EDE-NORTE2"/>
      <sheetName val="Portada_Cont__EDE-ESTE2"/>
      <sheetName val="Detalle_de_Precios_EDE-ESTE2"/>
      <sheetName val="Resumen_Transacciones2"/>
      <sheetName val="Platts_Jul-002"/>
      <sheetName val="Portada_Spot__EDE-SUR2"/>
      <sheetName val="Portada_Spot__EDE-NORTE2"/>
      <sheetName val="Portada_Spot__EDE-ESTE2"/>
      <sheetName val="Portada_Spot__EDE-HAINA2"/>
      <sheetName val="Portada_Spot__EDE-PALAMARA2"/>
      <sheetName val="Portada_Cont__EDE-SUR1"/>
      <sheetName val="Detalle_de_Precios_EDE-SUR1"/>
      <sheetName val="Portada_Cont___EDE-NORTE1"/>
      <sheetName val="Detalle_de_Precios_EDE-NORTE1"/>
      <sheetName val="Portada_Cont__EDE-ESTE1"/>
      <sheetName val="Detalle_de_Precios_EDE-ESTE1"/>
      <sheetName val="Resumen_Transacciones1"/>
      <sheetName val="Platts_Jul-001"/>
      <sheetName val="Portada_Spot__EDE-SUR1"/>
      <sheetName val="Portada_Spot__EDE-NORTE1"/>
      <sheetName val="Portada_Spot__EDE-ESTE1"/>
      <sheetName val="Portada_Spot__EDE-HAINA1"/>
      <sheetName val="Portada_Spot__EDE-PALAMARA1"/>
      <sheetName val="Portada_Cont__EDE-SUR3"/>
      <sheetName val="Detalle_de_Precios_EDE-SUR3"/>
      <sheetName val="Portada_Cont___EDE-NORTE3"/>
      <sheetName val="Detalle_de_Precios_EDE-NORTE3"/>
      <sheetName val="Portada_Cont__EDE-ESTE3"/>
      <sheetName val="Detalle_de_Precios_EDE-ESTE3"/>
      <sheetName val="Resumen_Transacciones3"/>
      <sheetName val="Platts_Jul-003"/>
      <sheetName val="Portada_Spot__EDE-SUR3"/>
      <sheetName val="Portada_Spot__EDE-NORTE3"/>
      <sheetName val="Portada_Spot__EDE-ESTE3"/>
      <sheetName val="Portada_Spot__EDE-HAINA3"/>
      <sheetName val="Portada_Spot__EDE-PALAMARA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W91"/>
  <sheetViews>
    <sheetView showGridLines="0" zoomScale="70" zoomScaleNormal="70" zoomScalePageLayoutView="0" workbookViewId="0" topLeftCell="A1">
      <pane xSplit="2" ySplit="7" topLeftCell="FE8" activePane="bottomRight" state="frozen"/>
      <selection pane="topLeft" activeCell="A1" sqref="A1"/>
      <selection pane="topRight" activeCell="C1" sqref="C1"/>
      <selection pane="bottomLeft" activeCell="A8" sqref="A8"/>
      <selection pane="bottomRight" activeCell="FK14" sqref="FK14"/>
    </sheetView>
  </sheetViews>
  <sheetFormatPr defaultColWidth="9.140625" defaultRowHeight="12" customHeight="1" outlineLevelRow="1"/>
  <cols>
    <col min="1" max="1" width="6.421875" style="23" customWidth="1"/>
    <col min="2" max="2" width="85.421875" style="8" customWidth="1"/>
    <col min="3" max="3" width="8.7109375" style="8" bestFit="1" customWidth="1"/>
    <col min="4" max="4" width="8.57421875" style="8" bestFit="1" customWidth="1"/>
    <col min="5" max="5" width="8.8515625" style="8" bestFit="1" customWidth="1"/>
    <col min="6" max="6" width="13.57421875" style="8" bestFit="1" customWidth="1"/>
    <col min="7" max="7" width="8.28125" style="8" bestFit="1" customWidth="1"/>
    <col min="8" max="8" width="9.140625" style="8" bestFit="1" customWidth="1"/>
    <col min="9" max="9" width="8.140625" style="8" bestFit="1" customWidth="1"/>
    <col min="10" max="10" width="14.00390625" style="8" bestFit="1" customWidth="1"/>
    <col min="11" max="11" width="7.421875" style="8" bestFit="1" customWidth="1"/>
    <col min="12" max="12" width="8.8515625" style="8" bestFit="1" customWidth="1"/>
    <col min="13" max="13" width="8.7109375" style="8" bestFit="1" customWidth="1"/>
    <col min="14" max="14" width="16.421875" style="8" bestFit="1" customWidth="1"/>
    <col min="15" max="15" width="8.57421875" style="8" bestFit="1" customWidth="1"/>
    <col min="16" max="16" width="8.8515625" style="8" bestFit="1" customWidth="1"/>
    <col min="17" max="17" width="8.140625" style="8" bestFit="1" customWidth="1"/>
    <col min="18" max="18" width="14.00390625" style="8" bestFit="1" customWidth="1"/>
    <col min="19" max="20" width="8.57421875" style="1" bestFit="1" customWidth="1"/>
    <col min="21" max="21" width="8.57421875" style="32" bestFit="1" customWidth="1"/>
    <col min="22" max="22" width="13.57421875" style="32" bestFit="1" customWidth="1"/>
    <col min="23" max="23" width="8.57421875" style="32" bestFit="1" customWidth="1"/>
    <col min="24" max="24" width="8.7109375" style="32" bestFit="1" customWidth="1"/>
    <col min="25" max="25" width="8.57421875" style="32" bestFit="1" customWidth="1"/>
    <col min="26" max="26" width="14.00390625" style="32" bestFit="1" customWidth="1"/>
    <col min="27" max="27" width="8.140625" style="32" bestFit="1" customWidth="1"/>
    <col min="28" max="29" width="8.57421875" style="32" bestFit="1" customWidth="1"/>
    <col min="30" max="30" width="15.00390625" style="32" customWidth="1"/>
    <col min="31" max="33" width="8.57421875" style="32" bestFit="1" customWidth="1"/>
    <col min="34" max="34" width="14.421875" style="32" bestFit="1" customWidth="1"/>
    <col min="35" max="35" width="8.140625" style="32" bestFit="1" customWidth="1"/>
    <col min="36" max="36" width="9.140625" style="1" bestFit="1" customWidth="1"/>
    <col min="37" max="37" width="3.7109375" style="18" customWidth="1"/>
    <col min="38" max="38" width="9.421875" style="1" hidden="1" customWidth="1"/>
    <col min="39" max="39" width="9.28125" style="1" hidden="1" customWidth="1"/>
    <col min="40" max="40" width="9.7109375" style="1" hidden="1" customWidth="1"/>
    <col min="41" max="41" width="11.8515625" style="32" hidden="1" customWidth="1"/>
    <col min="42" max="42" width="9.28125" style="1" hidden="1" customWidth="1"/>
    <col min="43" max="43" width="10.00390625" style="1" hidden="1" customWidth="1"/>
    <col min="44" max="44" width="9.00390625" style="1" hidden="1" customWidth="1"/>
    <col min="45" max="45" width="12.8515625" style="32" hidden="1" customWidth="1"/>
    <col min="46" max="46" width="8.7109375" style="1" hidden="1" customWidth="1"/>
    <col min="47" max="47" width="9.421875" style="1" hidden="1" customWidth="1"/>
    <col min="48" max="48" width="9.28125" style="1" hidden="1" customWidth="1"/>
    <col min="49" max="49" width="16.28125" style="32" hidden="1" customWidth="1"/>
    <col min="50" max="50" width="9.28125" style="1" hidden="1" customWidth="1"/>
    <col min="51" max="51" width="9.421875" style="1" hidden="1" customWidth="1"/>
    <col min="52" max="52" width="9.00390625" style="1" hidden="1" customWidth="1"/>
    <col min="53" max="53" width="14.7109375" style="32" bestFit="1" customWidth="1"/>
    <col min="54" max="54" width="9.421875" style="1" bestFit="1" customWidth="1"/>
    <col min="55" max="55" width="9.28125" style="1" bestFit="1" customWidth="1"/>
    <col min="56" max="56" width="9.7109375" style="1" bestFit="1" customWidth="1"/>
    <col min="57" max="57" width="11.8515625" style="32" bestFit="1" customWidth="1"/>
    <col min="58" max="58" width="9.28125" style="1" bestFit="1" customWidth="1"/>
    <col min="59" max="59" width="10.00390625" style="1" bestFit="1" customWidth="1"/>
    <col min="60" max="60" width="9.00390625" style="1" bestFit="1" customWidth="1"/>
    <col min="61" max="61" width="11.8515625" style="32" bestFit="1" customWidth="1"/>
    <col min="62" max="62" width="8.421875" style="1" bestFit="1" customWidth="1"/>
    <col min="63" max="63" width="9.421875" style="1" bestFit="1" customWidth="1"/>
    <col min="64" max="64" width="9.28125" style="1" bestFit="1" customWidth="1"/>
    <col min="65" max="65" width="16.28125" style="32" bestFit="1" customWidth="1"/>
    <col min="66" max="66" width="9.28125" style="1" bestFit="1" customWidth="1"/>
    <col min="67" max="67" width="9.421875" style="1" bestFit="1" customWidth="1"/>
    <col min="68" max="68" width="9.00390625" style="1" bestFit="1" customWidth="1"/>
    <col min="69" max="69" width="14.7109375" style="32" bestFit="1" customWidth="1"/>
    <col min="70" max="70" width="9.421875" style="25" bestFit="1" customWidth="1"/>
    <col min="71" max="71" width="9.28125" style="25" bestFit="1" customWidth="1"/>
    <col min="72" max="72" width="9.7109375" style="32" bestFit="1" customWidth="1"/>
    <col min="73" max="73" width="11.8515625" style="32" bestFit="1" customWidth="1"/>
    <col min="74" max="74" width="9.28125" style="32" bestFit="1" customWidth="1"/>
    <col min="75" max="75" width="10.00390625" style="32" bestFit="1" customWidth="1"/>
    <col min="76" max="76" width="9.00390625" style="32" bestFit="1" customWidth="1"/>
    <col min="77" max="77" width="11.8515625" style="32" bestFit="1" customWidth="1"/>
    <col min="78" max="78" width="8.7109375" style="32" bestFit="1" customWidth="1"/>
    <col min="79" max="79" width="9.421875" style="32" bestFit="1" customWidth="1"/>
    <col min="80" max="80" width="9.28125" style="32" bestFit="1" customWidth="1"/>
    <col min="81" max="81" width="16.28125" style="32" bestFit="1" customWidth="1"/>
    <col min="82" max="82" width="9.28125" style="32" bestFit="1" customWidth="1"/>
    <col min="83" max="83" width="9.421875" style="32" bestFit="1" customWidth="1"/>
    <col min="84" max="84" width="9.00390625" style="32" bestFit="1" customWidth="1"/>
    <col min="85" max="85" width="14.7109375" style="32" bestFit="1" customWidth="1"/>
    <col min="86" max="86" width="9.421875" style="32" bestFit="1" customWidth="1"/>
    <col min="87" max="87" width="9.28125" style="32" bestFit="1" customWidth="1"/>
    <col min="88" max="88" width="9.7109375" style="32" bestFit="1" customWidth="1"/>
    <col min="89" max="89" width="11.8515625" style="32" bestFit="1" customWidth="1"/>
    <col min="90" max="90" width="9.28125" style="32" bestFit="1" customWidth="1"/>
    <col min="91" max="91" width="10.00390625" style="32" bestFit="1" customWidth="1"/>
    <col min="92" max="92" width="9.00390625" style="32" bestFit="1" customWidth="1"/>
    <col min="93" max="93" width="11.8515625" style="32" bestFit="1" customWidth="1"/>
    <col min="94" max="94" width="8.7109375" style="32" bestFit="1" customWidth="1"/>
    <col min="95" max="95" width="9.421875" style="32" bestFit="1" customWidth="1"/>
    <col min="96" max="96" width="9.28125" style="32" bestFit="1" customWidth="1"/>
    <col min="97" max="97" width="16.28125" style="32" bestFit="1" customWidth="1"/>
    <col min="98" max="98" width="9.28125" style="32" bestFit="1" customWidth="1"/>
    <col min="99" max="99" width="9.421875" style="32" bestFit="1" customWidth="1"/>
    <col min="100" max="100" width="9.00390625" style="32" bestFit="1" customWidth="1"/>
    <col min="101" max="101" width="14.7109375" style="32" bestFit="1" customWidth="1"/>
    <col min="102" max="102" width="9.421875" style="32" bestFit="1" customWidth="1"/>
    <col min="103" max="103" width="9.28125" style="32" bestFit="1" customWidth="1"/>
    <col min="104" max="104" width="9.7109375" style="32" bestFit="1" customWidth="1"/>
    <col min="105" max="105" width="11.8515625" style="32" bestFit="1" customWidth="1"/>
    <col min="106" max="106" width="9.28125" style="32" bestFit="1" customWidth="1"/>
    <col min="107" max="107" width="10.00390625" style="32" bestFit="1" customWidth="1"/>
    <col min="108" max="108" width="9.00390625" style="32" bestFit="1" customWidth="1"/>
    <col min="109" max="109" width="11.8515625" style="32" bestFit="1" customWidth="1"/>
    <col min="110" max="110" width="8.7109375" style="32" bestFit="1" customWidth="1"/>
    <col min="111" max="111" width="9.421875" style="32" bestFit="1" customWidth="1"/>
    <col min="112" max="112" width="9.28125" style="32" bestFit="1" customWidth="1"/>
    <col min="113" max="113" width="16.28125" style="32" bestFit="1" customWidth="1"/>
    <col min="114" max="114" width="9.28125" style="32" bestFit="1" customWidth="1"/>
    <col min="115" max="115" width="9.421875" style="32" bestFit="1" customWidth="1"/>
    <col min="116" max="116" width="9.00390625" style="32" bestFit="1" customWidth="1"/>
    <col min="117" max="117" width="14.7109375" style="32" bestFit="1" customWidth="1"/>
    <col min="118" max="118" width="9.421875" style="32" bestFit="1" customWidth="1"/>
    <col min="119" max="119" width="9.28125" style="32" bestFit="1" customWidth="1"/>
    <col min="120" max="120" width="9.7109375" style="32" bestFit="1" customWidth="1"/>
    <col min="121" max="121" width="11.8515625" style="32" bestFit="1" customWidth="1"/>
    <col min="122" max="122" width="9.28125" style="32" bestFit="1" customWidth="1"/>
    <col min="123" max="123" width="10.00390625" style="32" bestFit="1" customWidth="1"/>
    <col min="124" max="124" width="9.00390625" style="32" bestFit="1" customWidth="1"/>
    <col min="125" max="125" width="12.8515625" style="32" bestFit="1" customWidth="1"/>
    <col min="126" max="126" width="8.7109375" style="32" bestFit="1" customWidth="1"/>
    <col min="127" max="127" width="9.421875" style="32" bestFit="1" customWidth="1"/>
    <col min="128" max="128" width="9.28125" style="32" bestFit="1" customWidth="1"/>
    <col min="129" max="129" width="12.8515625" style="32" bestFit="1" customWidth="1"/>
    <col min="130" max="130" width="9.28125" style="32" bestFit="1" customWidth="1"/>
    <col min="131" max="131" width="9.421875" style="32" bestFit="1" customWidth="1"/>
    <col min="132" max="132" width="9.00390625" style="32" bestFit="1" customWidth="1"/>
    <col min="133" max="133" width="13.421875" style="32" bestFit="1" customWidth="1"/>
    <col min="134" max="134" width="9.7109375" style="1" bestFit="1" customWidth="1"/>
    <col min="135" max="135" width="9.421875" style="32" bestFit="1" customWidth="1"/>
    <col min="136" max="136" width="10.00390625" style="32" bestFit="1" customWidth="1"/>
    <col min="137" max="137" width="11.8515625" style="32" bestFit="1" customWidth="1"/>
    <col min="138" max="138" width="9.421875" style="32" bestFit="1" customWidth="1"/>
    <col min="139" max="139" width="10.28125" style="32" bestFit="1" customWidth="1"/>
    <col min="140" max="140" width="9.28125" style="32" bestFit="1" customWidth="1"/>
    <col min="141" max="141" width="13.421875" style="32" bestFit="1" customWidth="1"/>
    <col min="142" max="142" width="8.7109375" style="32" bestFit="1" customWidth="1"/>
    <col min="143" max="143" width="9.7109375" style="32" bestFit="1" customWidth="1"/>
    <col min="144" max="144" width="9.421875" style="32" bestFit="1" customWidth="1"/>
    <col min="145" max="145" width="12.8515625" style="32" bestFit="1" customWidth="1"/>
    <col min="146" max="146" width="9.421875" style="32" bestFit="1" customWidth="1"/>
    <col min="147" max="147" width="9.7109375" style="32" bestFit="1" customWidth="1"/>
    <col min="148" max="148" width="9.28125" style="32" bestFit="1" customWidth="1"/>
    <col min="149" max="149" width="14.140625" style="32" bestFit="1" customWidth="1"/>
    <col min="150" max="150" width="9.421875" style="32" bestFit="1" customWidth="1"/>
    <col min="151" max="151" width="9.28125" style="32" bestFit="1" customWidth="1"/>
    <col min="152" max="152" width="9.7109375" style="32" bestFit="1" customWidth="1"/>
    <col min="153" max="153" width="11.8515625" style="32" bestFit="1" customWidth="1"/>
    <col min="154" max="154" width="9.28125" style="32" bestFit="1" customWidth="1"/>
    <col min="155" max="155" width="10.00390625" style="32" bestFit="1" customWidth="1"/>
    <col min="156" max="156" width="9.00390625" style="32" bestFit="1" customWidth="1"/>
    <col min="157" max="157" width="14.421875" style="32" bestFit="1" customWidth="1"/>
    <col min="158" max="158" width="8.421875" style="32" bestFit="1" customWidth="1"/>
    <col min="159" max="159" width="9.421875" style="32" bestFit="1" customWidth="1"/>
    <col min="160" max="160" width="9.28125" style="32" bestFit="1" customWidth="1"/>
    <col min="161" max="161" width="12.140625" style="32" bestFit="1" customWidth="1"/>
    <col min="162" max="162" width="10.28125" style="32" bestFit="1" customWidth="1"/>
    <col min="163" max="163" width="9.421875" style="32" bestFit="1" customWidth="1"/>
    <col min="164" max="164" width="9.00390625" style="32" bestFit="1" customWidth="1"/>
    <col min="165" max="165" width="13.421875" style="32" bestFit="1" customWidth="1"/>
    <col min="166" max="166" width="9.7109375" style="32" bestFit="1" customWidth="1"/>
    <col min="167" max="167" width="9.421875" style="32" bestFit="1" customWidth="1"/>
    <col min="168" max="168" width="10.00390625" style="32" bestFit="1" customWidth="1"/>
    <col min="169" max="169" width="11.8515625" style="32" bestFit="1" customWidth="1"/>
    <col min="170" max="170" width="9.421875" style="32" hidden="1" customWidth="1"/>
    <col min="171" max="171" width="10.28125" style="32" hidden="1" customWidth="1"/>
    <col min="172" max="172" width="9.28125" style="32" hidden="1" customWidth="1"/>
    <col min="173" max="173" width="12.00390625" style="32" hidden="1" customWidth="1"/>
    <col min="174" max="174" width="8.7109375" style="32" hidden="1" customWidth="1"/>
    <col min="175" max="175" width="9.7109375" style="32" hidden="1" customWidth="1"/>
    <col min="176" max="176" width="9.421875" style="32" hidden="1" customWidth="1"/>
    <col min="177" max="177" width="12.8515625" style="32" hidden="1" customWidth="1"/>
    <col min="178" max="178" width="9.421875" style="32" hidden="1" customWidth="1"/>
    <col min="179" max="179" width="9.7109375" style="32" hidden="1" customWidth="1"/>
    <col min="180" max="180" width="9.28125" style="32" hidden="1" customWidth="1"/>
    <col min="181" max="181" width="13.140625" style="32" hidden="1" customWidth="1"/>
    <col min="182" max="182" width="11.421875" style="32" customWidth="1"/>
    <col min="183" max="183" width="8.8515625" style="1" customWidth="1"/>
    <col min="184" max="184" width="9.28125" style="1" bestFit="1" customWidth="1"/>
    <col min="185" max="185" width="10.421875" style="1" customWidth="1"/>
    <col min="186" max="186" width="10.28125" style="1" customWidth="1"/>
    <col min="187" max="189" width="9.140625" style="1" customWidth="1"/>
    <col min="190" max="190" width="8.8515625" style="32" customWidth="1"/>
    <col min="191" max="16384" width="9.140625" style="1" customWidth="1"/>
  </cols>
  <sheetData>
    <row r="1" spans="1:70" ht="12.75">
      <c r="A1" s="2"/>
      <c r="B1" s="3" t="s">
        <v>31</v>
      </c>
      <c r="C1" s="3"/>
      <c r="D1" s="3"/>
      <c r="E1" s="3"/>
      <c r="F1" s="3"/>
      <c r="G1" s="3"/>
      <c r="H1" s="3"/>
      <c r="I1" s="3"/>
      <c r="J1" s="3"/>
      <c r="K1" s="3"/>
      <c r="L1" s="3"/>
      <c r="M1" s="3"/>
      <c r="N1" s="3"/>
      <c r="O1" s="3"/>
      <c r="P1" s="3"/>
      <c r="Q1" s="3"/>
      <c r="R1" s="3"/>
      <c r="BR1" s="32"/>
    </row>
    <row r="2" spans="1:132" ht="12.75">
      <c r="A2" s="5"/>
      <c r="B2" s="6" t="s">
        <v>30</v>
      </c>
      <c r="C2" s="6"/>
      <c r="D2" s="6"/>
      <c r="E2" s="6"/>
      <c r="F2" s="6"/>
      <c r="G2" s="6"/>
      <c r="H2" s="6"/>
      <c r="I2" s="6"/>
      <c r="J2" s="6"/>
      <c r="K2" s="6"/>
      <c r="L2" s="6"/>
      <c r="M2" s="6"/>
      <c r="N2" s="6"/>
      <c r="O2" s="6"/>
      <c r="P2" s="6"/>
      <c r="Q2" s="6"/>
      <c r="R2" s="6"/>
      <c r="BV2" s="49"/>
      <c r="EB2" s="67"/>
    </row>
    <row r="3" spans="1:132" ht="12.75">
      <c r="A3" s="5"/>
      <c r="B3" s="7" t="s">
        <v>0</v>
      </c>
      <c r="C3" s="7"/>
      <c r="D3" s="7"/>
      <c r="E3" s="7"/>
      <c r="F3" s="7"/>
      <c r="G3" s="7"/>
      <c r="H3" s="7"/>
      <c r="I3" s="7"/>
      <c r="J3" s="7"/>
      <c r="K3" s="7"/>
      <c r="L3" s="7"/>
      <c r="M3" s="7"/>
      <c r="N3" s="7"/>
      <c r="O3" s="7"/>
      <c r="P3" s="7"/>
      <c r="Q3" s="7"/>
      <c r="R3" s="7"/>
      <c r="EB3" s="67"/>
    </row>
    <row r="4" spans="1:18" ht="12.75">
      <c r="A4" s="5"/>
      <c r="B4" s="7" t="s">
        <v>1</v>
      </c>
      <c r="C4" s="7"/>
      <c r="D4" s="7"/>
      <c r="E4" s="7"/>
      <c r="F4" s="7"/>
      <c r="G4" s="7"/>
      <c r="H4" s="7"/>
      <c r="I4" s="7"/>
      <c r="J4" s="7"/>
      <c r="K4" s="7"/>
      <c r="L4" s="7"/>
      <c r="M4" s="7"/>
      <c r="N4" s="7"/>
      <c r="O4" s="7"/>
      <c r="P4" s="7"/>
      <c r="Q4" s="7"/>
      <c r="R4" s="7"/>
    </row>
    <row r="5" spans="1:184" ht="12.75">
      <c r="A5" s="5"/>
      <c r="S5" s="39"/>
      <c r="AI5" s="30"/>
      <c r="AJ5" s="9"/>
      <c r="AK5" s="10"/>
      <c r="AL5" s="9"/>
      <c r="AM5" s="9"/>
      <c r="AN5" s="9"/>
      <c r="AO5" s="30"/>
      <c r="AP5" s="9"/>
      <c r="AQ5" s="9"/>
      <c r="AR5" s="9"/>
      <c r="AS5" s="30"/>
      <c r="AT5" s="9"/>
      <c r="AU5" s="9"/>
      <c r="AV5" s="9"/>
      <c r="AW5" s="30"/>
      <c r="AX5" s="9"/>
      <c r="AY5" s="9"/>
      <c r="AZ5" s="9"/>
      <c r="BA5" s="30"/>
      <c r="BB5" s="9"/>
      <c r="BC5" s="9"/>
      <c r="BD5" s="9"/>
      <c r="BE5" s="30"/>
      <c r="BF5" s="9"/>
      <c r="BG5" s="9"/>
      <c r="BH5" s="9"/>
      <c r="BI5" s="30"/>
      <c r="BJ5" s="9"/>
      <c r="BK5" s="9"/>
      <c r="BL5" s="9"/>
      <c r="BM5" s="30"/>
      <c r="BN5" s="9"/>
      <c r="BO5" s="9"/>
      <c r="BP5" s="9"/>
      <c r="BQ5" s="30"/>
      <c r="BR5" s="26"/>
      <c r="BS5" s="26"/>
      <c r="BT5" s="30"/>
      <c r="BU5" s="30"/>
      <c r="BV5" s="5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GA5" s="24"/>
      <c r="GB5" s="24"/>
    </row>
    <row r="6" spans="1:190" ht="18" customHeight="1">
      <c r="A6" s="5"/>
      <c r="B6" s="40"/>
      <c r="C6" s="91" t="s">
        <v>79</v>
      </c>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10"/>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T6" s="71"/>
      <c r="EU6" s="71"/>
      <c r="EV6" s="71"/>
      <c r="EX6" s="71"/>
      <c r="EY6" s="71"/>
      <c r="EZ6" s="71"/>
      <c r="FB6" s="71"/>
      <c r="FC6" s="71"/>
      <c r="FJ6" s="71"/>
      <c r="FK6" s="71"/>
      <c r="FL6" s="71"/>
      <c r="FN6" s="71"/>
      <c r="FO6" s="71"/>
      <c r="FP6" s="71"/>
      <c r="FR6" s="71"/>
      <c r="FS6" s="71"/>
      <c r="GA6" s="92" t="s">
        <v>2</v>
      </c>
      <c r="GB6" s="92"/>
      <c r="GC6" s="92"/>
      <c r="GD6" s="92"/>
      <c r="GE6" s="92"/>
      <c r="GF6" s="92"/>
      <c r="GG6" s="92"/>
      <c r="GH6" s="92"/>
    </row>
    <row r="7" spans="1:191" s="4" customFormat="1" ht="60.75" customHeight="1">
      <c r="A7" s="11"/>
      <c r="B7" s="41"/>
      <c r="C7" s="62">
        <v>44562</v>
      </c>
      <c r="D7" s="62">
        <v>44593</v>
      </c>
      <c r="E7" s="62">
        <v>44621</v>
      </c>
      <c r="F7" s="63" t="s">
        <v>82</v>
      </c>
      <c r="G7" s="62">
        <v>44652</v>
      </c>
      <c r="H7" s="62">
        <v>44682</v>
      </c>
      <c r="I7" s="62">
        <v>44713</v>
      </c>
      <c r="J7" s="63" t="s">
        <v>83</v>
      </c>
      <c r="K7" s="62">
        <v>44743</v>
      </c>
      <c r="L7" s="62">
        <v>44774</v>
      </c>
      <c r="M7" s="62">
        <v>44805</v>
      </c>
      <c r="N7" s="63" t="s">
        <v>84</v>
      </c>
      <c r="O7" s="62">
        <v>44835</v>
      </c>
      <c r="P7" s="62">
        <v>44866</v>
      </c>
      <c r="Q7" s="62">
        <v>44896</v>
      </c>
      <c r="R7" s="63" t="s">
        <v>85</v>
      </c>
      <c r="S7" s="62">
        <v>44197</v>
      </c>
      <c r="T7" s="62">
        <v>44228</v>
      </c>
      <c r="U7" s="62">
        <v>44256</v>
      </c>
      <c r="V7" s="63" t="s">
        <v>75</v>
      </c>
      <c r="W7" s="62">
        <v>44287</v>
      </c>
      <c r="X7" s="62">
        <v>44317</v>
      </c>
      <c r="Y7" s="62">
        <v>44348</v>
      </c>
      <c r="Z7" s="63" t="s">
        <v>78</v>
      </c>
      <c r="AA7" s="62">
        <v>44378</v>
      </c>
      <c r="AB7" s="62">
        <v>44409</v>
      </c>
      <c r="AC7" s="62">
        <v>44440</v>
      </c>
      <c r="AD7" s="63" t="s">
        <v>76</v>
      </c>
      <c r="AE7" s="62">
        <v>44470</v>
      </c>
      <c r="AF7" s="62">
        <v>44501</v>
      </c>
      <c r="AG7" s="62">
        <v>44531</v>
      </c>
      <c r="AH7" s="63" t="s">
        <v>77</v>
      </c>
      <c r="AI7" s="64" t="s">
        <v>3</v>
      </c>
      <c r="AJ7" s="64" t="s">
        <v>4</v>
      </c>
      <c r="AK7" s="12"/>
      <c r="AL7" s="42">
        <v>41640</v>
      </c>
      <c r="AM7" s="42">
        <v>41671</v>
      </c>
      <c r="AN7" s="42">
        <v>41699</v>
      </c>
      <c r="AO7" s="63" t="s">
        <v>48</v>
      </c>
      <c r="AP7" s="42">
        <v>41730</v>
      </c>
      <c r="AQ7" s="42">
        <v>41760</v>
      </c>
      <c r="AR7" s="42">
        <v>41791</v>
      </c>
      <c r="AS7" s="63" t="s">
        <v>49</v>
      </c>
      <c r="AT7" s="42">
        <v>41821</v>
      </c>
      <c r="AU7" s="42">
        <v>41852</v>
      </c>
      <c r="AV7" s="42">
        <v>41883</v>
      </c>
      <c r="AW7" s="63" t="s">
        <v>50</v>
      </c>
      <c r="AX7" s="42">
        <v>41913</v>
      </c>
      <c r="AY7" s="42">
        <v>41945</v>
      </c>
      <c r="AZ7" s="42">
        <v>41976</v>
      </c>
      <c r="BA7" s="63" t="s">
        <v>51</v>
      </c>
      <c r="BB7" s="42">
        <v>42005</v>
      </c>
      <c r="BC7" s="42">
        <v>42036</v>
      </c>
      <c r="BD7" s="42">
        <v>42065</v>
      </c>
      <c r="BE7" s="63" t="s">
        <v>52</v>
      </c>
      <c r="BF7" s="42">
        <v>42095</v>
      </c>
      <c r="BG7" s="42">
        <v>42125</v>
      </c>
      <c r="BH7" s="42">
        <v>42157</v>
      </c>
      <c r="BI7" s="63" t="s">
        <v>53</v>
      </c>
      <c r="BJ7" s="42">
        <v>42189</v>
      </c>
      <c r="BK7" s="42">
        <v>42217</v>
      </c>
      <c r="BL7" s="42">
        <v>42248</v>
      </c>
      <c r="BM7" s="63" t="s">
        <v>54</v>
      </c>
      <c r="BN7" s="42">
        <v>42278</v>
      </c>
      <c r="BO7" s="42">
        <v>42309</v>
      </c>
      <c r="BP7" s="42">
        <v>42339</v>
      </c>
      <c r="BQ7" s="63" t="s">
        <v>55</v>
      </c>
      <c r="BR7" s="42">
        <v>42370</v>
      </c>
      <c r="BS7" s="42">
        <v>42401</v>
      </c>
      <c r="BT7" s="42">
        <v>42431</v>
      </c>
      <c r="BU7" s="63" t="s">
        <v>56</v>
      </c>
      <c r="BV7" s="42">
        <v>42461</v>
      </c>
      <c r="BW7" s="42">
        <v>42491</v>
      </c>
      <c r="BX7" s="42">
        <v>42522</v>
      </c>
      <c r="BY7" s="63" t="s">
        <v>57</v>
      </c>
      <c r="BZ7" s="42">
        <v>42552</v>
      </c>
      <c r="CA7" s="42">
        <v>42583</v>
      </c>
      <c r="CB7" s="42">
        <v>42614</v>
      </c>
      <c r="CC7" s="63" t="s">
        <v>58</v>
      </c>
      <c r="CD7" s="42">
        <v>42644</v>
      </c>
      <c r="CE7" s="42">
        <v>42675</v>
      </c>
      <c r="CF7" s="42">
        <v>42705</v>
      </c>
      <c r="CG7" s="63" t="s">
        <v>59</v>
      </c>
      <c r="CH7" s="42">
        <v>42736</v>
      </c>
      <c r="CI7" s="42">
        <v>42767</v>
      </c>
      <c r="CJ7" s="42">
        <v>42795</v>
      </c>
      <c r="CK7" s="63" t="s">
        <v>60</v>
      </c>
      <c r="CL7" s="42">
        <v>42826</v>
      </c>
      <c r="CM7" s="42">
        <v>42856</v>
      </c>
      <c r="CN7" s="42">
        <v>42887</v>
      </c>
      <c r="CO7" s="63" t="s">
        <v>61</v>
      </c>
      <c r="CP7" s="42">
        <v>42917</v>
      </c>
      <c r="CQ7" s="42">
        <v>42948</v>
      </c>
      <c r="CR7" s="42">
        <v>42979</v>
      </c>
      <c r="CS7" s="63" t="s">
        <v>62</v>
      </c>
      <c r="CT7" s="42">
        <v>43009</v>
      </c>
      <c r="CU7" s="42">
        <v>43040</v>
      </c>
      <c r="CV7" s="42">
        <v>43070</v>
      </c>
      <c r="CW7" s="63" t="s">
        <v>63</v>
      </c>
      <c r="CX7" s="42">
        <v>43101</v>
      </c>
      <c r="CY7" s="42">
        <v>43132</v>
      </c>
      <c r="CZ7" s="42">
        <v>43160</v>
      </c>
      <c r="DA7" s="63" t="s">
        <v>64</v>
      </c>
      <c r="DB7" s="42">
        <v>43191</v>
      </c>
      <c r="DC7" s="42">
        <v>43221</v>
      </c>
      <c r="DD7" s="42">
        <v>43252</v>
      </c>
      <c r="DE7" s="63" t="s">
        <v>65</v>
      </c>
      <c r="DF7" s="42">
        <v>43282</v>
      </c>
      <c r="DG7" s="42">
        <v>43313</v>
      </c>
      <c r="DH7" s="42">
        <v>43344</v>
      </c>
      <c r="DI7" s="63" t="s">
        <v>66</v>
      </c>
      <c r="DJ7" s="42">
        <v>43374</v>
      </c>
      <c r="DK7" s="42">
        <v>43405</v>
      </c>
      <c r="DL7" s="42">
        <v>43435</v>
      </c>
      <c r="DM7" s="63" t="s">
        <v>67</v>
      </c>
      <c r="DN7" s="42">
        <v>43466</v>
      </c>
      <c r="DO7" s="42">
        <v>43497</v>
      </c>
      <c r="DP7" s="42">
        <v>43525</v>
      </c>
      <c r="DQ7" s="63" t="s">
        <v>47</v>
      </c>
      <c r="DR7" s="42">
        <v>43556</v>
      </c>
      <c r="DS7" s="42">
        <v>43586</v>
      </c>
      <c r="DT7" s="42">
        <v>43617</v>
      </c>
      <c r="DU7" s="63" t="s">
        <v>68</v>
      </c>
      <c r="DV7" s="62">
        <v>43647</v>
      </c>
      <c r="DW7" s="62">
        <v>43678</v>
      </c>
      <c r="DX7" s="62">
        <v>43709</v>
      </c>
      <c r="DY7" s="63" t="s">
        <v>69</v>
      </c>
      <c r="DZ7" s="62">
        <v>43739</v>
      </c>
      <c r="EA7" s="62">
        <v>43770</v>
      </c>
      <c r="EB7" s="62">
        <v>43800</v>
      </c>
      <c r="EC7" s="63" t="s">
        <v>70</v>
      </c>
      <c r="ED7" s="42">
        <v>43831</v>
      </c>
      <c r="EE7" s="42">
        <v>43862</v>
      </c>
      <c r="EF7" s="42">
        <v>43891</v>
      </c>
      <c r="EG7" s="63" t="s">
        <v>71</v>
      </c>
      <c r="EH7" s="42">
        <v>43922</v>
      </c>
      <c r="EI7" s="42">
        <v>43952</v>
      </c>
      <c r="EJ7" s="42">
        <v>43983</v>
      </c>
      <c r="EK7" s="63" t="s">
        <v>72</v>
      </c>
      <c r="EL7" s="62">
        <v>44013</v>
      </c>
      <c r="EM7" s="62">
        <v>44044</v>
      </c>
      <c r="EN7" s="62">
        <v>44075</v>
      </c>
      <c r="EO7" s="63" t="s">
        <v>73</v>
      </c>
      <c r="EP7" s="62">
        <v>44105</v>
      </c>
      <c r="EQ7" s="62">
        <v>44136</v>
      </c>
      <c r="ER7" s="62">
        <v>44166</v>
      </c>
      <c r="ES7" s="63" t="s">
        <v>74</v>
      </c>
      <c r="ET7" s="62">
        <v>44197</v>
      </c>
      <c r="EU7" s="62">
        <v>44228</v>
      </c>
      <c r="EV7" s="62">
        <v>44256</v>
      </c>
      <c r="EW7" s="63" t="s">
        <v>75</v>
      </c>
      <c r="EX7" s="62">
        <v>44287</v>
      </c>
      <c r="EY7" s="62">
        <v>44317</v>
      </c>
      <c r="EZ7" s="62">
        <v>44348</v>
      </c>
      <c r="FA7" s="63" t="s">
        <v>78</v>
      </c>
      <c r="FB7" s="62">
        <v>44378</v>
      </c>
      <c r="FC7" s="62">
        <v>44409</v>
      </c>
      <c r="FD7" s="62">
        <v>44440</v>
      </c>
      <c r="FE7" s="63" t="s">
        <v>76</v>
      </c>
      <c r="FF7" s="62">
        <v>44470</v>
      </c>
      <c r="FG7" s="62">
        <v>44501</v>
      </c>
      <c r="FH7" s="62">
        <v>44531</v>
      </c>
      <c r="FI7" s="63" t="s">
        <v>77</v>
      </c>
      <c r="FJ7" s="62">
        <v>44562</v>
      </c>
      <c r="FK7" s="62">
        <v>44593</v>
      </c>
      <c r="FL7" s="62">
        <v>44621</v>
      </c>
      <c r="FM7" s="63" t="s">
        <v>82</v>
      </c>
      <c r="FN7" s="62">
        <v>44652</v>
      </c>
      <c r="FO7" s="62">
        <v>44682</v>
      </c>
      <c r="FP7" s="62">
        <v>44713</v>
      </c>
      <c r="FQ7" s="63" t="s">
        <v>83</v>
      </c>
      <c r="FR7" s="62">
        <v>44743</v>
      </c>
      <c r="FS7" s="62">
        <v>44774</v>
      </c>
      <c r="FT7" s="62">
        <v>44805</v>
      </c>
      <c r="FU7" s="63" t="s">
        <v>84</v>
      </c>
      <c r="FV7" s="62">
        <v>44835</v>
      </c>
      <c r="FW7" s="62">
        <v>44866</v>
      </c>
      <c r="FX7" s="62">
        <v>44896</v>
      </c>
      <c r="FY7" s="63" t="s">
        <v>85</v>
      </c>
      <c r="FZ7" s="13"/>
      <c r="GA7" s="43" t="s">
        <v>5</v>
      </c>
      <c r="GB7" s="43" t="s">
        <v>25</v>
      </c>
      <c r="GC7" s="43" t="s">
        <v>26</v>
      </c>
      <c r="GD7" s="56">
        <v>2017</v>
      </c>
      <c r="GE7" s="56">
        <v>2018</v>
      </c>
      <c r="GF7" s="56">
        <v>2019</v>
      </c>
      <c r="GG7" s="56">
        <v>2020</v>
      </c>
      <c r="GH7" s="56">
        <v>2021</v>
      </c>
      <c r="GI7" s="56">
        <v>2022</v>
      </c>
    </row>
    <row r="8" spans="1:205" s="4" customFormat="1" ht="15" customHeight="1">
      <c r="A8" s="14"/>
      <c r="B8" s="36" t="s">
        <v>33</v>
      </c>
      <c r="C8" s="35">
        <f>+FJ8</f>
        <v>452.520961</v>
      </c>
      <c r="D8" s="35">
        <f aca="true" t="shared" si="0" ref="D8:R8">+FK8</f>
        <v>0</v>
      </c>
      <c r="E8" s="35">
        <f t="shared" si="0"/>
        <v>0</v>
      </c>
      <c r="F8" s="35">
        <f t="shared" si="0"/>
        <v>452.520961</v>
      </c>
      <c r="G8" s="35">
        <f t="shared" si="0"/>
        <v>0</v>
      </c>
      <c r="H8" s="35">
        <f t="shared" si="0"/>
        <v>0</v>
      </c>
      <c r="I8" s="35">
        <f t="shared" si="0"/>
        <v>0</v>
      </c>
      <c r="J8" s="35">
        <f t="shared" si="0"/>
        <v>0</v>
      </c>
      <c r="K8" s="35">
        <f t="shared" si="0"/>
        <v>0</v>
      </c>
      <c r="L8" s="35">
        <f t="shared" si="0"/>
        <v>0</v>
      </c>
      <c r="M8" s="35">
        <f t="shared" si="0"/>
        <v>0</v>
      </c>
      <c r="N8" s="35">
        <f t="shared" si="0"/>
        <v>0</v>
      </c>
      <c r="O8" s="35">
        <f t="shared" si="0"/>
        <v>0</v>
      </c>
      <c r="P8" s="35">
        <f t="shared" si="0"/>
        <v>0</v>
      </c>
      <c r="Q8" s="35">
        <f t="shared" si="0"/>
        <v>0</v>
      </c>
      <c r="R8" s="35">
        <f t="shared" si="0"/>
        <v>0</v>
      </c>
      <c r="S8" s="35">
        <f>+ET8</f>
        <v>427.119704</v>
      </c>
      <c r="T8" s="35">
        <f aca="true" t="shared" si="1" ref="T8:AH8">+EU8</f>
        <v>411.434792</v>
      </c>
      <c r="U8" s="35">
        <f t="shared" si="1"/>
        <v>455.715261</v>
      </c>
      <c r="V8" s="35">
        <f t="shared" si="1"/>
        <v>1294.269757</v>
      </c>
      <c r="W8" s="35">
        <f t="shared" si="1"/>
        <v>452.094681</v>
      </c>
      <c r="X8" s="35">
        <f t="shared" si="1"/>
        <v>503.054945</v>
      </c>
      <c r="Y8" s="35">
        <f t="shared" si="1"/>
        <v>486.338478</v>
      </c>
      <c r="Z8" s="35">
        <f t="shared" si="1"/>
        <v>1441.488104</v>
      </c>
      <c r="AA8" s="35">
        <f t="shared" si="1"/>
        <v>521.606418</v>
      </c>
      <c r="AB8" s="35">
        <f t="shared" si="1"/>
        <v>521.6320509999999</v>
      </c>
      <c r="AC8" s="35">
        <f t="shared" si="1"/>
        <v>538.039438</v>
      </c>
      <c r="AD8" s="35">
        <f t="shared" si="1"/>
        <v>1581.277907</v>
      </c>
      <c r="AE8" s="35">
        <f t="shared" si="1"/>
        <v>522.716347</v>
      </c>
      <c r="AF8" s="35">
        <f t="shared" si="1"/>
        <v>504.09949700000004</v>
      </c>
      <c r="AG8" s="35">
        <f t="shared" si="1"/>
        <v>478.335012</v>
      </c>
      <c r="AH8" s="35">
        <f t="shared" si="1"/>
        <v>1505.1508560000002</v>
      </c>
      <c r="AI8" s="35">
        <f>+C8-S8</f>
        <v>25.401256999999987</v>
      </c>
      <c r="AJ8" s="34">
        <f>+(AI8/S8)</f>
        <v>0.059471049361843505</v>
      </c>
      <c r="AK8" s="19"/>
      <c r="AL8" s="35">
        <v>355.4134370300004</v>
      </c>
      <c r="AM8" s="35">
        <v>326.14088432999944</v>
      </c>
      <c r="AN8" s="35">
        <v>373.3200209509402</v>
      </c>
      <c r="AO8" s="35">
        <f>+SUM(AL8:AN8)</f>
        <v>1054.8743423109402</v>
      </c>
      <c r="AP8" s="35">
        <v>370.17014435529074</v>
      </c>
      <c r="AQ8" s="35">
        <v>386.4969002513624</v>
      </c>
      <c r="AR8" s="35">
        <v>391.3279003893875</v>
      </c>
      <c r="AS8" s="35">
        <f>+SUM(AP8:AR8)</f>
        <v>1147.9949449960407</v>
      </c>
      <c r="AT8" s="35">
        <v>402.40868360623637</v>
      </c>
      <c r="AU8" s="35">
        <v>391.56203850096796</v>
      </c>
      <c r="AV8" s="35">
        <v>377.34783664069477</v>
      </c>
      <c r="AW8" s="35">
        <f>+SUM(AT8:AV8)</f>
        <v>1171.318558747899</v>
      </c>
      <c r="AX8" s="35">
        <v>405.7792950836948</v>
      </c>
      <c r="AY8" s="35">
        <v>367.8897936387904</v>
      </c>
      <c r="AZ8" s="35">
        <v>366.66828490170593</v>
      </c>
      <c r="BA8" s="35">
        <f>+SUM(AX8:AZ8)</f>
        <v>1140.337373624191</v>
      </c>
      <c r="BB8" s="35">
        <v>357.8859802713382</v>
      </c>
      <c r="BC8" s="35">
        <v>331.2383784408594</v>
      </c>
      <c r="BD8" s="35">
        <v>375.86390922907054</v>
      </c>
      <c r="BE8" s="35">
        <f>+SUM(BB8:BD8)</f>
        <v>1064.988267941268</v>
      </c>
      <c r="BF8" s="35">
        <v>371.41260391073416</v>
      </c>
      <c r="BG8" s="35">
        <v>392.9246714617659</v>
      </c>
      <c r="BH8" s="35">
        <v>403.75986065780387</v>
      </c>
      <c r="BI8" s="35">
        <f>+SUM(BF8:BH8)</f>
        <v>1168.0971360303038</v>
      </c>
      <c r="BJ8" s="35">
        <v>423.5528464163927</v>
      </c>
      <c r="BK8" s="35">
        <v>422.16484425455775</v>
      </c>
      <c r="BL8" s="35">
        <v>413.9718144392673</v>
      </c>
      <c r="BM8" s="35">
        <f>+SUM(BJ8:BL8)</f>
        <v>1259.6895051102179</v>
      </c>
      <c r="BN8" s="35">
        <v>430.04001686353286</v>
      </c>
      <c r="BO8" s="35">
        <v>379.0567554683413</v>
      </c>
      <c r="BP8" s="35">
        <v>389.31845222370913</v>
      </c>
      <c r="BQ8" s="35">
        <f>+SUM(BN8:BP8)</f>
        <v>1198.4152245555833</v>
      </c>
      <c r="BR8" s="35">
        <v>377.1329395379166</v>
      </c>
      <c r="BS8" s="35">
        <v>366.29440161053054</v>
      </c>
      <c r="BT8" s="35">
        <v>396.47918158947584</v>
      </c>
      <c r="BU8" s="35">
        <f>+SUM(BR8:BT8)</f>
        <v>1139.9065227379228</v>
      </c>
      <c r="BV8" s="35">
        <v>399.515475787</v>
      </c>
      <c r="BW8" s="35">
        <v>439.08157198151594</v>
      </c>
      <c r="BX8" s="35">
        <v>430.878742309443</v>
      </c>
      <c r="BY8" s="35">
        <f>+SUM(BV8:BX8)</f>
        <v>1269.475790077959</v>
      </c>
      <c r="BZ8" s="35">
        <v>443.0182542880955</v>
      </c>
      <c r="CA8" s="35">
        <v>440.34257733943804</v>
      </c>
      <c r="CB8" s="35">
        <v>440.3637779207893</v>
      </c>
      <c r="CC8" s="35">
        <f>+SUM(BZ8:CB8)</f>
        <v>1323.7246095483229</v>
      </c>
      <c r="CD8" s="35">
        <v>433.7481531097996</v>
      </c>
      <c r="CE8" s="35">
        <v>401.25249331715537</v>
      </c>
      <c r="CF8" s="35">
        <v>406.97864792678666</v>
      </c>
      <c r="CG8" s="35">
        <f>+SUM(CD8:CF8)</f>
        <v>1241.9792943537416</v>
      </c>
      <c r="CH8" s="35">
        <v>372.8648598849303</v>
      </c>
      <c r="CI8" s="35">
        <v>354.0802626105653</v>
      </c>
      <c r="CJ8" s="35">
        <v>398.57726517748716</v>
      </c>
      <c r="CK8" s="35">
        <f>+SUM(CH8:CJ8)</f>
        <v>1125.5223876729826</v>
      </c>
      <c r="CL8" s="35">
        <v>385.057481777757</v>
      </c>
      <c r="CM8" s="35">
        <v>426.30242231835507</v>
      </c>
      <c r="CN8" s="35">
        <v>433.7846059821564</v>
      </c>
      <c r="CO8" s="35">
        <f>+SUM(CL8:CN8)</f>
        <v>1245.1445100782685</v>
      </c>
      <c r="CP8" s="35">
        <v>454.42236616418194</v>
      </c>
      <c r="CQ8" s="35">
        <v>471.82003946478426</v>
      </c>
      <c r="CR8" s="35">
        <v>441.01754849362027</v>
      </c>
      <c r="CS8" s="35">
        <f>+SUM(CP8:CR8)</f>
        <v>1367.2599541225866</v>
      </c>
      <c r="CT8" s="35">
        <v>449.5240156907508</v>
      </c>
      <c r="CU8" s="35">
        <v>409.4758324148236</v>
      </c>
      <c r="CV8" s="35">
        <v>409.58123140882446</v>
      </c>
      <c r="CW8" s="35">
        <f>+SUM(CT8:CV8)</f>
        <v>1268.5810795143989</v>
      </c>
      <c r="CX8" s="35">
        <v>391.21070357204604</v>
      </c>
      <c r="CY8" s="35">
        <v>343.1946515925962</v>
      </c>
      <c r="CZ8" s="35">
        <v>404.00167021533315</v>
      </c>
      <c r="DA8" s="35">
        <f>+SUM(CX8:CZ8)</f>
        <v>1138.4070253799755</v>
      </c>
      <c r="DB8" s="35">
        <v>415.22621439578603</v>
      </c>
      <c r="DC8" s="35">
        <v>430.94466980682733</v>
      </c>
      <c r="DD8" s="35">
        <v>440.8066229389622</v>
      </c>
      <c r="DE8" s="35">
        <f>+SUM(DB8:DD8)</f>
        <v>1286.9775071415756</v>
      </c>
      <c r="DF8" s="35">
        <v>460.807284</v>
      </c>
      <c r="DG8" s="35">
        <v>459.46092799999997</v>
      </c>
      <c r="DH8" s="35">
        <v>425.82763199999994</v>
      </c>
      <c r="DI8" s="35">
        <f>+SUM(DF8:DH8)</f>
        <v>1346.095844</v>
      </c>
      <c r="DJ8" s="35">
        <v>440.368992</v>
      </c>
      <c r="DK8" s="35">
        <v>423.248597</v>
      </c>
      <c r="DL8" s="35">
        <v>420.47525300000007</v>
      </c>
      <c r="DM8" s="35">
        <f>+SUM(DJ8:DL8)</f>
        <v>1284.092842</v>
      </c>
      <c r="DN8" s="35">
        <v>405.691234</v>
      </c>
      <c r="DO8" s="35">
        <v>383.224837</v>
      </c>
      <c r="DP8" s="35">
        <v>430.133715</v>
      </c>
      <c r="DQ8" s="35">
        <f>+SUM(DN8:DP8)</f>
        <v>1219.049786</v>
      </c>
      <c r="DR8" s="35">
        <v>420.37149</v>
      </c>
      <c r="DS8" s="35">
        <v>460.71561399999996</v>
      </c>
      <c r="DT8" s="35">
        <v>468.257751</v>
      </c>
      <c r="DU8" s="35">
        <f>+SUM(DR8:DT8)</f>
        <v>1349.3448549999998</v>
      </c>
      <c r="DV8" s="35">
        <v>499.31275200000005</v>
      </c>
      <c r="DW8" s="35">
        <v>504.725419</v>
      </c>
      <c r="DX8" s="35">
        <v>482.505372</v>
      </c>
      <c r="DY8" s="35">
        <f>+SUM(DV8:DX8)</f>
        <v>1486.543543</v>
      </c>
      <c r="DZ8" s="35">
        <v>496.68667800000003</v>
      </c>
      <c r="EA8" s="35">
        <v>458.95519900000005</v>
      </c>
      <c r="EB8" s="35">
        <v>450.62444200000004</v>
      </c>
      <c r="EC8" s="35">
        <f>+SUM(DZ8:EB8)</f>
        <v>1406.266319</v>
      </c>
      <c r="ED8" s="35">
        <v>431.411065</v>
      </c>
      <c r="EE8" s="35">
        <v>421.162443</v>
      </c>
      <c r="EF8" s="35">
        <v>426.747217</v>
      </c>
      <c r="EG8" s="35">
        <f>+SUM(ED8:EF8)</f>
        <v>1279.320725</v>
      </c>
      <c r="EH8" s="35">
        <v>420.891735</v>
      </c>
      <c r="EI8" s="35">
        <v>465.21807200000006</v>
      </c>
      <c r="EJ8" s="35">
        <v>495.891248</v>
      </c>
      <c r="EK8" s="35">
        <f>+SUM(EH8:EJ8)</f>
        <v>1382.0010550000002</v>
      </c>
      <c r="EL8" s="35">
        <v>517.415469</v>
      </c>
      <c r="EM8" s="35">
        <v>498.354229</v>
      </c>
      <c r="EN8" s="35">
        <v>487.88258399999995</v>
      </c>
      <c r="EO8" s="35">
        <f>+SUM(EL8:EN8)</f>
        <v>1503.652282</v>
      </c>
      <c r="EP8" s="35">
        <v>498.32954000000007</v>
      </c>
      <c r="EQ8" s="35">
        <v>438.99758199999997</v>
      </c>
      <c r="ER8" s="35">
        <v>452.670858</v>
      </c>
      <c r="ES8" s="35">
        <f>+SUM(EP8:ER8)</f>
        <v>1389.99798</v>
      </c>
      <c r="ET8" s="35">
        <v>427.119704</v>
      </c>
      <c r="EU8" s="35">
        <v>411.434792</v>
      </c>
      <c r="EV8" s="35">
        <v>455.715261</v>
      </c>
      <c r="EW8" s="35">
        <f>+SUM(ET8:EV8)</f>
        <v>1294.269757</v>
      </c>
      <c r="EX8" s="35">
        <v>452.094681</v>
      </c>
      <c r="EY8" s="35">
        <v>503.054945</v>
      </c>
      <c r="EZ8" s="35">
        <v>486.338478</v>
      </c>
      <c r="FA8" s="35">
        <f>+SUM(EX8:EZ8)</f>
        <v>1441.488104</v>
      </c>
      <c r="FB8" s="35">
        <v>521.606418</v>
      </c>
      <c r="FC8" s="35">
        <v>521.6320509999999</v>
      </c>
      <c r="FD8" s="35">
        <v>538.039438</v>
      </c>
      <c r="FE8" s="35">
        <f>+SUM(FB8:FD8)</f>
        <v>1581.277907</v>
      </c>
      <c r="FF8" s="35">
        <v>522.716347</v>
      </c>
      <c r="FG8" s="35">
        <v>504.09949700000004</v>
      </c>
      <c r="FH8" s="35">
        <v>478.335012</v>
      </c>
      <c r="FI8" s="35">
        <f>+SUM(FF8:FH8)</f>
        <v>1505.1508560000002</v>
      </c>
      <c r="FJ8" s="35">
        <v>452.520961</v>
      </c>
      <c r="FK8" s="35"/>
      <c r="FL8" s="35"/>
      <c r="FM8" s="35">
        <f>+SUM(FJ8:FL8)</f>
        <v>452.520961</v>
      </c>
      <c r="FN8" s="35"/>
      <c r="FO8" s="35"/>
      <c r="FP8" s="35"/>
      <c r="FQ8" s="35">
        <f>+SUM(FN8:FP8)</f>
        <v>0</v>
      </c>
      <c r="FR8" s="35"/>
      <c r="FS8" s="35"/>
      <c r="FT8" s="35"/>
      <c r="FU8" s="35">
        <f>+SUM(FR8:FT8)</f>
        <v>0</v>
      </c>
      <c r="FV8" s="35"/>
      <c r="FW8" s="35"/>
      <c r="FX8" s="35"/>
      <c r="FY8" s="35">
        <f>+SUM(FV8:FX8)</f>
        <v>0</v>
      </c>
      <c r="FZ8" s="33"/>
      <c r="GA8" s="16">
        <f>+AO8+AS8+AW8+BA8</f>
        <v>4514.525219679071</v>
      </c>
      <c r="GB8" s="16">
        <f>+BE8+BI8+BM8+BQ8</f>
        <v>4691.190133637373</v>
      </c>
      <c r="GC8" s="28">
        <f>+BU8+BY8+CC8+CG8</f>
        <v>4975.086216717947</v>
      </c>
      <c r="GD8" s="35">
        <f>+CK8+CO8+CS8+CW8</f>
        <v>5006.507931388236</v>
      </c>
      <c r="GE8" s="35">
        <f>+DA8+DE8+DI8+DM8</f>
        <v>5055.573218521551</v>
      </c>
      <c r="GF8" s="35">
        <f>+DQ8+DU8+DY8+EC8</f>
        <v>5461.204503</v>
      </c>
      <c r="GG8" s="35">
        <f>+EG8+EK8+EO8+ES8</f>
        <v>5554.972042</v>
      </c>
      <c r="GH8" s="35">
        <f>+EW8+FA8+FE8+FI8</f>
        <v>5822.186624</v>
      </c>
      <c r="GI8" s="35">
        <f>+FM8+FQ8+FU8+FY8</f>
        <v>452.520961</v>
      </c>
      <c r="GJ8" s="33"/>
      <c r="GK8" s="33"/>
      <c r="GL8" s="33"/>
      <c r="GM8" s="33"/>
      <c r="GN8" s="33"/>
      <c r="GO8" s="33"/>
      <c r="GP8" s="33"/>
      <c r="GQ8" s="33"/>
      <c r="GR8" s="33"/>
      <c r="GS8" s="33"/>
      <c r="GT8" s="33"/>
      <c r="GU8" s="33"/>
      <c r="GV8" s="33"/>
      <c r="GW8" s="33"/>
    </row>
    <row r="9" spans="1:191" s="33" customFormat="1" ht="15" customHeight="1" outlineLevel="1">
      <c r="A9" s="14"/>
      <c r="B9" s="1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44"/>
      <c r="AJ9" s="34"/>
      <c r="AK9" s="19"/>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76"/>
      <c r="FG9" s="44"/>
      <c r="FH9" s="44"/>
      <c r="FI9" s="44"/>
      <c r="FJ9" s="44"/>
      <c r="FK9" s="44"/>
      <c r="FL9" s="44"/>
      <c r="FM9" s="44"/>
      <c r="FN9" s="44"/>
      <c r="FO9" s="44"/>
      <c r="FP9" s="44"/>
      <c r="FQ9" s="44"/>
      <c r="FR9" s="44"/>
      <c r="FS9" s="44"/>
      <c r="FT9" s="44"/>
      <c r="FU9" s="44"/>
      <c r="FV9" s="76"/>
      <c r="FW9" s="44"/>
      <c r="FX9" s="44"/>
      <c r="FY9" s="44"/>
      <c r="GA9" s="55"/>
      <c r="GB9" s="35"/>
      <c r="GC9" s="35"/>
      <c r="GD9" s="35"/>
      <c r="GE9" s="35"/>
      <c r="GF9" s="35"/>
      <c r="GG9" s="35"/>
      <c r="GH9" s="35"/>
      <c r="GI9" s="35"/>
    </row>
    <row r="10" spans="1:205" s="4" customFormat="1" ht="15" customHeight="1">
      <c r="A10" s="14"/>
      <c r="B10" s="36" t="s">
        <v>6</v>
      </c>
      <c r="C10" s="35">
        <f aca="true" t="shared" si="2" ref="C10:R10">+FJ10</f>
        <v>14.821895248036327</v>
      </c>
      <c r="D10" s="35">
        <f t="shared" si="2"/>
        <v>0</v>
      </c>
      <c r="E10" s="35">
        <f t="shared" si="2"/>
        <v>0</v>
      </c>
      <c r="F10" s="35">
        <f t="shared" si="2"/>
        <v>14.821895248036327</v>
      </c>
      <c r="G10" s="35">
        <f t="shared" si="2"/>
        <v>0</v>
      </c>
      <c r="H10" s="35">
        <f t="shared" si="2"/>
        <v>0</v>
      </c>
      <c r="I10" s="35">
        <f t="shared" si="2"/>
        <v>0</v>
      </c>
      <c r="J10" s="35">
        <f t="shared" si="2"/>
        <v>0</v>
      </c>
      <c r="K10" s="35">
        <f t="shared" si="2"/>
        <v>0</v>
      </c>
      <c r="L10" s="35">
        <f t="shared" si="2"/>
        <v>0</v>
      </c>
      <c r="M10" s="35">
        <f t="shared" si="2"/>
        <v>0</v>
      </c>
      <c r="N10" s="35">
        <f t="shared" si="2"/>
        <v>0</v>
      </c>
      <c r="O10" s="35">
        <f t="shared" si="2"/>
        <v>0</v>
      </c>
      <c r="P10" s="35">
        <f t="shared" si="2"/>
        <v>0</v>
      </c>
      <c r="Q10" s="35">
        <f t="shared" si="2"/>
        <v>0</v>
      </c>
      <c r="R10" s="35">
        <f t="shared" si="2"/>
        <v>0</v>
      </c>
      <c r="S10" s="35">
        <f aca="true" t="shared" si="3" ref="S10:AH10">+ET10</f>
        <v>11.936834443783983</v>
      </c>
      <c r="T10" s="35">
        <f t="shared" si="3"/>
        <v>12.26964602202831</v>
      </c>
      <c r="U10" s="35">
        <f t="shared" si="3"/>
        <v>11.918657975521487</v>
      </c>
      <c r="V10" s="35">
        <f t="shared" si="3"/>
        <v>12.036231781777907</v>
      </c>
      <c r="W10" s="35">
        <f t="shared" si="3"/>
        <v>12.209579657565008</v>
      </c>
      <c r="X10" s="35">
        <f t="shared" si="3"/>
        <v>12.003150578716319</v>
      </c>
      <c r="Y10" s="35">
        <f t="shared" si="3"/>
        <v>12.242429071346631</v>
      </c>
      <c r="Z10" s="35">
        <f t="shared" si="3"/>
        <v>12.148622349099504</v>
      </c>
      <c r="AA10" s="35">
        <f t="shared" si="3"/>
        <v>12.228070973806478</v>
      </c>
      <c r="AB10" s="35">
        <f t="shared" si="3"/>
        <v>12.803738083001853</v>
      </c>
      <c r="AC10" s="35">
        <f t="shared" si="3"/>
        <v>13.156030675145638</v>
      </c>
      <c r="AD10" s="35">
        <f t="shared" si="3"/>
        <v>12.733716014136503</v>
      </c>
      <c r="AE10" s="35">
        <f t="shared" si="3"/>
        <v>13.143873943927401</v>
      </c>
      <c r="AF10" s="35">
        <f t="shared" si="3"/>
        <v>13.94783636993383</v>
      </c>
      <c r="AG10" s="35">
        <f t="shared" si="3"/>
        <v>14.976143678143504</v>
      </c>
      <c r="AH10" s="35">
        <f t="shared" si="3"/>
        <v>13.995427005702515</v>
      </c>
      <c r="AI10" s="35">
        <f>+C10-S10</f>
        <v>2.885060804252344</v>
      </c>
      <c r="AJ10" s="34">
        <f>+(AI10/S10)</f>
        <v>0.24169396148027483</v>
      </c>
      <c r="AK10" s="19"/>
      <c r="AL10" s="75">
        <f aca="true" t="shared" si="4" ref="AL10:CN10">+(AL12/AL8)*100</f>
        <v>17.721417074344746</v>
      </c>
      <c r="AM10" s="75">
        <f t="shared" si="4"/>
        <v>18.03898785070736</v>
      </c>
      <c r="AN10" s="75">
        <f t="shared" si="4"/>
        <v>17.982761059492354</v>
      </c>
      <c r="AO10" s="75">
        <f t="shared" si="4"/>
        <v>17.912091686270877</v>
      </c>
      <c r="AP10" s="75">
        <f t="shared" si="4"/>
        <v>18.262266179894837</v>
      </c>
      <c r="AQ10" s="75">
        <f t="shared" si="4"/>
        <v>18.01140083982366</v>
      </c>
      <c r="AR10" s="75">
        <f t="shared" si="4"/>
        <v>18.478677427472313</v>
      </c>
      <c r="AS10" s="75">
        <f>+(AS12/AS8)*100</f>
        <v>18.251577180577932</v>
      </c>
      <c r="AT10" s="75">
        <f t="shared" si="4"/>
        <v>19.036322568702758</v>
      </c>
      <c r="AU10" s="75">
        <f t="shared" si="4"/>
        <v>18.251987173217408</v>
      </c>
      <c r="AV10" s="75">
        <f t="shared" si="4"/>
        <v>18.244312243377774</v>
      </c>
      <c r="AW10" s="75">
        <f>+(AW12/AW8)*100</f>
        <v>18.51897453843595</v>
      </c>
      <c r="AX10" s="75">
        <f t="shared" si="4"/>
        <v>17.707735042673526</v>
      </c>
      <c r="AY10" s="75">
        <f t="shared" si="4"/>
        <v>16.30881531255509</v>
      </c>
      <c r="AZ10" s="75">
        <f t="shared" si="4"/>
        <v>14.112271325496195</v>
      </c>
      <c r="BA10" s="75">
        <f>+(BA12/BA8)*100</f>
        <v>16.10032407129699</v>
      </c>
      <c r="BB10" s="75">
        <f t="shared" si="4"/>
        <v>13.762376610497299</v>
      </c>
      <c r="BC10" s="75">
        <f t="shared" si="4"/>
        <v>13.370195394485746</v>
      </c>
      <c r="BD10" s="75">
        <f t="shared" si="4"/>
        <v>13.260408985805716</v>
      </c>
      <c r="BE10" s="75">
        <f>+(BE12/BE8)*100</f>
        <v>13.463239997109543</v>
      </c>
      <c r="BF10" s="75">
        <f t="shared" si="4"/>
        <v>13.209981467637485</v>
      </c>
      <c r="BG10" s="75">
        <f t="shared" si="4"/>
        <v>13.69362815928184</v>
      </c>
      <c r="BH10" s="75">
        <f t="shared" si="4"/>
        <v>14.442599443444976</v>
      </c>
      <c r="BI10" s="75">
        <f>+(BI12/BI8)*100</f>
        <v>13.798732487018828</v>
      </c>
      <c r="BJ10" s="75">
        <f t="shared" si="4"/>
        <v>14.069333801587192</v>
      </c>
      <c r="BK10" s="75">
        <f t="shared" si="4"/>
        <v>12.937876590514039</v>
      </c>
      <c r="BL10" s="75">
        <f t="shared" si="4"/>
        <v>12.127939496942924</v>
      </c>
      <c r="BM10" s="75">
        <f>+(BM12/BM8)*100</f>
        <v>13.052143474184305</v>
      </c>
      <c r="BN10" s="75">
        <f t="shared" si="4"/>
        <v>12.182018074051342</v>
      </c>
      <c r="BO10" s="75">
        <f t="shared" si="4"/>
        <v>11.91957786585108</v>
      </c>
      <c r="BP10" s="75">
        <f t="shared" si="4"/>
        <v>11.15012731866357</v>
      </c>
      <c r="BQ10" s="75">
        <f>+(BQ12/BQ8)*100</f>
        <v>11.7637875348305</v>
      </c>
      <c r="BR10" s="75">
        <f t="shared" si="4"/>
        <v>10.113362328689403</v>
      </c>
      <c r="BS10" s="75">
        <f t="shared" si="4"/>
        <v>10.142981877815473</v>
      </c>
      <c r="BT10" s="75">
        <f t="shared" si="4"/>
        <v>10.028898168494827</v>
      </c>
      <c r="BU10" s="75">
        <f>+(BU12/BU8)*100</f>
        <v>10.093502098369726</v>
      </c>
      <c r="BV10" s="75">
        <f t="shared" si="4"/>
        <v>10.50189706786794</v>
      </c>
      <c r="BW10" s="75">
        <f t="shared" si="4"/>
        <v>10.602891787866689</v>
      </c>
      <c r="BX10" s="75">
        <f t="shared" si="4"/>
        <v>11.373686793488137</v>
      </c>
      <c r="BY10" s="75">
        <f>+(BY12/BY8)*100</f>
        <v>10.832726993286697</v>
      </c>
      <c r="BZ10" s="75">
        <f t="shared" si="4"/>
        <v>11.52000224066171</v>
      </c>
      <c r="CA10" s="75">
        <f t="shared" si="4"/>
        <v>11.000539493493092</v>
      </c>
      <c r="CB10" s="75">
        <f t="shared" si="4"/>
        <v>10.962818398722792</v>
      </c>
      <c r="CC10" s="75">
        <f>+(CC12/CC8)*100</f>
        <v>11.161842285688547</v>
      </c>
      <c r="CD10" s="75">
        <f t="shared" si="4"/>
        <v>11.040585773932047</v>
      </c>
      <c r="CE10" s="75">
        <f t="shared" si="4"/>
        <v>11.598296163857142</v>
      </c>
      <c r="CF10" s="75">
        <f t="shared" si="4"/>
        <v>11.129412570500786</v>
      </c>
      <c r="CG10" s="75">
        <f>+(CG12/CG8)*100</f>
        <v>11.249875329124508</v>
      </c>
      <c r="CH10" s="75">
        <f t="shared" si="4"/>
        <v>12.463399312041341</v>
      </c>
      <c r="CI10" s="75">
        <f t="shared" si="4"/>
        <v>13.09389539664151</v>
      </c>
      <c r="CJ10" s="75">
        <f t="shared" si="4"/>
        <v>12.112797878380027</v>
      </c>
      <c r="CK10" s="75">
        <f>+(CK12/CK8)*100</f>
        <v>12.53759104694479</v>
      </c>
      <c r="CL10" s="75">
        <f t="shared" si="4"/>
        <v>11.786287721103468</v>
      </c>
      <c r="CM10" s="75">
        <f t="shared" si="4"/>
        <v>11.491143749688248</v>
      </c>
      <c r="CN10" s="75">
        <f t="shared" si="4"/>
        <v>11.560155073314935</v>
      </c>
      <c r="CO10" s="75">
        <f>+(CO12/CO8)*100</f>
        <v>11.60645843249058</v>
      </c>
      <c r="CP10" s="75">
        <f aca="true" t="shared" si="5" ref="CP10:CW10">+(CP12/CP8)*100</f>
        <v>11.175312004418522</v>
      </c>
      <c r="CQ10" s="75">
        <f t="shared" si="5"/>
        <v>11.121973578397633</v>
      </c>
      <c r="CR10" s="75">
        <f t="shared" si="5"/>
        <v>11.20110866973703</v>
      </c>
      <c r="CS10" s="75">
        <f t="shared" si="5"/>
        <v>11.165226609808295</v>
      </c>
      <c r="CT10" s="75">
        <f t="shared" si="5"/>
        <v>11.437707725701122</v>
      </c>
      <c r="CU10" s="75">
        <f t="shared" si="5"/>
        <v>11.642415189900024</v>
      </c>
      <c r="CV10" s="75">
        <f t="shared" si="5"/>
        <v>11.941322365080993</v>
      </c>
      <c r="CW10" s="75">
        <f t="shared" si="5"/>
        <v>11.666383581065556</v>
      </c>
      <c r="CX10" s="75">
        <f aca="true" t="shared" si="6" ref="CX10:DF10">+(CX12/CX8)*100</f>
        <v>11.644934255932611</v>
      </c>
      <c r="CY10" s="75">
        <f t="shared" si="6"/>
        <v>11.493651425032574</v>
      </c>
      <c r="CZ10" s="75">
        <f t="shared" si="6"/>
        <v>12.034760031831125</v>
      </c>
      <c r="DA10" s="75">
        <f t="shared" si="6"/>
        <v>11.737669809877447</v>
      </c>
      <c r="DB10" s="75">
        <f t="shared" si="6"/>
        <v>11.922290272297799</v>
      </c>
      <c r="DC10" s="75">
        <f t="shared" si="6"/>
        <v>12.504811653801685</v>
      </c>
      <c r="DD10" s="75">
        <f t="shared" si="6"/>
        <v>13.195627636131402</v>
      </c>
      <c r="DE10" s="75">
        <f t="shared" si="6"/>
        <v>12.553482366264781</v>
      </c>
      <c r="DF10" s="75">
        <f t="shared" si="6"/>
        <v>13.299165312461463</v>
      </c>
      <c r="DG10" s="75">
        <f aca="true" t="shared" si="7" ref="DG10:DP10">+(DG12/DG8)*100</f>
        <v>13.350276994393012</v>
      </c>
      <c r="DH10" s="75">
        <f t="shared" si="7"/>
        <v>13.710712375715664</v>
      </c>
      <c r="DI10" s="75">
        <f t="shared" si="7"/>
        <v>13.446801109050401</v>
      </c>
      <c r="DJ10" s="75">
        <f t="shared" si="7"/>
        <v>13.531042660848325</v>
      </c>
      <c r="DK10" s="75">
        <f t="shared" si="7"/>
        <v>13.993616127752933</v>
      </c>
      <c r="DL10" s="75">
        <f t="shared" si="7"/>
        <v>13.183595372083834</v>
      </c>
      <c r="DM10" s="75">
        <f t="shared" si="7"/>
        <v>13.569739694741914</v>
      </c>
      <c r="DN10" s="75">
        <f t="shared" si="7"/>
        <v>12.86454487922767</v>
      </c>
      <c r="DO10" s="75">
        <f t="shared" si="7"/>
        <v>13.445867230348691</v>
      </c>
      <c r="DP10" s="75">
        <f t="shared" si="7"/>
        <v>13.480565649336887</v>
      </c>
      <c r="DQ10" s="75">
        <f aca="true" t="shared" si="8" ref="DQ10:DV10">+(DQ12/DQ8)*100</f>
        <v>13.264650331210454</v>
      </c>
      <c r="DR10" s="75">
        <f t="shared" si="8"/>
        <v>13.19414493610649</v>
      </c>
      <c r="DS10" s="75">
        <f t="shared" si="8"/>
        <v>13.028362634952112</v>
      </c>
      <c r="DT10" s="75">
        <f t="shared" si="8"/>
        <v>13.141259481213991</v>
      </c>
      <c r="DU10" s="75">
        <f t="shared" si="8"/>
        <v>13.119188175823556</v>
      </c>
      <c r="DV10" s="75">
        <f t="shared" si="8"/>
        <v>12.014127823577606</v>
      </c>
      <c r="DW10" s="75">
        <f aca="true" t="shared" si="9" ref="DW10:EG10">+(DW12/DW8)*100</f>
        <v>12.051273514184004</v>
      </c>
      <c r="DX10" s="75">
        <f t="shared" si="9"/>
        <v>11.753613211581134</v>
      </c>
      <c r="DY10" s="75">
        <f t="shared" si="9"/>
        <v>11.942181511597</v>
      </c>
      <c r="DZ10" s="75">
        <f t="shared" si="9"/>
        <v>11.286083905559698</v>
      </c>
      <c r="EA10" s="75">
        <f t="shared" si="9"/>
        <v>11.48303976090008</v>
      </c>
      <c r="EB10" s="75">
        <f t="shared" si="9"/>
        <v>10.958673030879472</v>
      </c>
      <c r="EC10" s="75">
        <f t="shared" si="9"/>
        <v>11.245447627670183</v>
      </c>
      <c r="ED10" s="75">
        <f t="shared" si="9"/>
        <v>11.306104593509</v>
      </c>
      <c r="EE10" s="75">
        <f>+(EE12/EE8)*100</f>
        <v>11.492361223609098</v>
      </c>
      <c r="EF10" s="75">
        <f>+(EF12/EF8)*100</f>
        <v>11.127871113094292</v>
      </c>
      <c r="EG10" s="75">
        <f t="shared" si="9"/>
        <v>11.307967813238129</v>
      </c>
      <c r="EH10" s="75">
        <f aca="true" t="shared" si="10" ref="EH10:EM10">+(EH12/EH8)*100</f>
        <v>10.864690199131292</v>
      </c>
      <c r="EI10" s="75">
        <f t="shared" si="10"/>
        <v>10.27087441462666</v>
      </c>
      <c r="EJ10" s="75">
        <f t="shared" si="10"/>
        <v>10.425254266704172</v>
      </c>
      <c r="EK10" s="75">
        <f t="shared" si="10"/>
        <v>10.507117196165861</v>
      </c>
      <c r="EL10" s="75">
        <f t="shared" si="10"/>
        <v>10.644662632431935</v>
      </c>
      <c r="EM10" s="75">
        <f t="shared" si="10"/>
        <v>10.968094007047785</v>
      </c>
      <c r="EN10" s="75">
        <f aca="true" t="shared" si="11" ref="EN10:ES10">+(EN12/EN8)*100</f>
        <v>11.151473865373642</v>
      </c>
      <c r="EO10" s="75">
        <f t="shared" si="11"/>
        <v>10.916299747041732</v>
      </c>
      <c r="EP10" s="75">
        <f t="shared" si="11"/>
        <v>11.358146035730918</v>
      </c>
      <c r="EQ10" s="75">
        <f t="shared" si="11"/>
        <v>11.827829954123418</v>
      </c>
      <c r="ER10" s="75">
        <f t="shared" si="11"/>
        <v>11.85245285882323</v>
      </c>
      <c r="ES10" s="75">
        <f t="shared" si="11"/>
        <v>11.667461879630952</v>
      </c>
      <c r="ET10" s="75">
        <f aca="true" t="shared" si="12" ref="ET10:FJ10">+(ET12/ET8)*100</f>
        <v>11.936834443783983</v>
      </c>
      <c r="EU10" s="75">
        <f t="shared" si="12"/>
        <v>12.26964602202831</v>
      </c>
      <c r="EV10" s="75">
        <f t="shared" si="12"/>
        <v>11.918657975521487</v>
      </c>
      <c r="EW10" s="75">
        <f t="shared" si="12"/>
        <v>12.036231781777907</v>
      </c>
      <c r="EX10" s="75">
        <f t="shared" si="12"/>
        <v>12.209579657565008</v>
      </c>
      <c r="EY10" s="75">
        <f t="shared" si="12"/>
        <v>12.003150578716319</v>
      </c>
      <c r="EZ10" s="75">
        <f t="shared" si="12"/>
        <v>12.242429071346631</v>
      </c>
      <c r="FA10" s="75">
        <f>+_xlfn.IFERROR((FA12/FA8)*100,0)</f>
        <v>12.148622349099504</v>
      </c>
      <c r="FB10" s="75">
        <f t="shared" si="12"/>
        <v>12.228070973806478</v>
      </c>
      <c r="FC10" s="75">
        <f t="shared" si="12"/>
        <v>12.803738083001853</v>
      </c>
      <c r="FD10" s="75">
        <f t="shared" si="12"/>
        <v>13.156030675145638</v>
      </c>
      <c r="FE10" s="75">
        <f>+_xlfn.IFERROR((FE12/FE8)*100,0)</f>
        <v>12.733716014136503</v>
      </c>
      <c r="FF10" s="35">
        <f t="shared" si="12"/>
        <v>13.143873943927401</v>
      </c>
      <c r="FG10" s="35">
        <f t="shared" si="12"/>
        <v>13.94783636993383</v>
      </c>
      <c r="FH10" s="35">
        <f t="shared" si="12"/>
        <v>14.976143678143504</v>
      </c>
      <c r="FI10" s="75">
        <f>+_xlfn.IFERROR((FI12/FI8)*100,0)</f>
        <v>13.995427005702515</v>
      </c>
      <c r="FJ10" s="35">
        <f t="shared" si="12"/>
        <v>14.821895248036327</v>
      </c>
      <c r="FK10" s="35"/>
      <c r="FL10" s="75"/>
      <c r="FM10" s="75">
        <f>+(FM12/FM8)*100</f>
        <v>14.821895248036327</v>
      </c>
      <c r="FN10" s="75"/>
      <c r="FO10" s="75"/>
      <c r="FP10" s="75"/>
      <c r="FQ10" s="75">
        <f>+_xlfn.IFERROR((FQ12/FQ8)*100,0)</f>
        <v>0</v>
      </c>
      <c r="FR10" s="75"/>
      <c r="FS10" s="75"/>
      <c r="FT10" s="75"/>
      <c r="FU10" s="75">
        <f>+_xlfn.IFERROR((FU12/FU8)*100,0)</f>
        <v>0</v>
      </c>
      <c r="FV10" s="35"/>
      <c r="FW10" s="35"/>
      <c r="FX10" s="35"/>
      <c r="FY10" s="75">
        <f>+_xlfn.IFERROR((FY12/FY8)*100,0)</f>
        <v>0</v>
      </c>
      <c r="FZ10" s="33"/>
      <c r="GA10" s="17">
        <f aca="true" t="shared" si="13" ref="GA10:GF10">+(GA12/GA8)*100</f>
        <v>17.69823851287903</v>
      </c>
      <c r="GB10" s="17">
        <f t="shared" si="13"/>
        <v>13.002244854834128</v>
      </c>
      <c r="GC10" s="27">
        <f t="shared" si="13"/>
        <v>10.855058330552021</v>
      </c>
      <c r="GD10" s="27">
        <f t="shared" si="13"/>
        <v>11.710473430295165</v>
      </c>
      <c r="GE10" s="27">
        <f t="shared" si="13"/>
        <v>12.865758461246488</v>
      </c>
      <c r="GF10" s="27">
        <f t="shared" si="13"/>
        <v>12.34878591960335</v>
      </c>
      <c r="GG10" s="27">
        <f>+(GG12/GG8)*100</f>
        <v>11.092662867675271</v>
      </c>
      <c r="GH10" s="27">
        <f>+(GH12/GH8)*100</f>
        <v>12.759982275088552</v>
      </c>
      <c r="GI10" s="75">
        <f>+(GI12/GI8)*100</f>
        <v>14.821895248036327</v>
      </c>
      <c r="GJ10" s="33"/>
      <c r="GK10" s="33"/>
      <c r="GL10" s="33"/>
      <c r="GM10" s="33"/>
      <c r="GN10" s="33"/>
      <c r="GO10" s="33"/>
      <c r="GP10" s="33"/>
      <c r="GQ10" s="33"/>
      <c r="GR10" s="33"/>
      <c r="GS10" s="33"/>
      <c r="GT10" s="33"/>
      <c r="GU10" s="33"/>
      <c r="GV10" s="33"/>
      <c r="GW10" s="33"/>
    </row>
    <row r="11" spans="1:191" s="33" customFormat="1" ht="15" customHeight="1" outlineLevel="1">
      <c r="A11" s="14"/>
      <c r="B11" s="1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53"/>
      <c r="AJ11" s="34"/>
      <c r="AK11" s="19"/>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38"/>
      <c r="CM11" s="38"/>
      <c r="CN11" s="38"/>
      <c r="CO11" s="53"/>
      <c r="CP11" s="38"/>
      <c r="CQ11" s="38"/>
      <c r="CR11" s="38"/>
      <c r="CS11" s="53"/>
      <c r="CT11" s="38"/>
      <c r="CU11" s="38"/>
      <c r="CV11" s="38"/>
      <c r="CW11" s="53"/>
      <c r="CX11" s="38"/>
      <c r="CY11" s="38"/>
      <c r="CZ11" s="38"/>
      <c r="DA11" s="53"/>
      <c r="DB11" s="38"/>
      <c r="DC11" s="38"/>
      <c r="DD11" s="38"/>
      <c r="DE11" s="53"/>
      <c r="DF11" s="38"/>
      <c r="DG11" s="38"/>
      <c r="DH11" s="38"/>
      <c r="DI11" s="53"/>
      <c r="DJ11" s="38"/>
      <c r="DK11" s="38"/>
      <c r="DL11" s="38"/>
      <c r="DM11" s="53"/>
      <c r="DN11" s="38"/>
      <c r="DO11" s="38"/>
      <c r="DP11" s="38"/>
      <c r="DQ11" s="53"/>
      <c r="DR11" s="38"/>
      <c r="DS11" s="38"/>
      <c r="DT11" s="38"/>
      <c r="DU11" s="53"/>
      <c r="DV11" s="38"/>
      <c r="DW11" s="38"/>
      <c r="DX11" s="38"/>
      <c r="DY11" s="53"/>
      <c r="DZ11" s="38"/>
      <c r="EA11" s="38"/>
      <c r="EB11" s="38"/>
      <c r="EC11" s="53"/>
      <c r="ED11" s="38"/>
      <c r="EE11" s="38"/>
      <c r="EF11" s="38"/>
      <c r="EG11" s="53"/>
      <c r="EH11" s="38"/>
      <c r="EI11" s="38"/>
      <c r="EJ11" s="38"/>
      <c r="EK11" s="53"/>
      <c r="EL11" s="38"/>
      <c r="EM11" s="38"/>
      <c r="EN11" s="38"/>
      <c r="EO11" s="53"/>
      <c r="EP11" s="38"/>
      <c r="EQ11" s="38"/>
      <c r="ER11" s="38"/>
      <c r="ES11" s="53"/>
      <c r="ET11" s="38"/>
      <c r="EU11" s="38"/>
      <c r="EV11" s="38"/>
      <c r="EW11" s="53"/>
      <c r="EX11" s="38"/>
      <c r="EY11" s="38"/>
      <c r="EZ11" s="38"/>
      <c r="FA11" s="53"/>
      <c r="FB11" s="38"/>
      <c r="FC11" s="38"/>
      <c r="FD11" s="38"/>
      <c r="FE11" s="53"/>
      <c r="FF11" s="54"/>
      <c r="FG11" s="38"/>
      <c r="FH11" s="38"/>
      <c r="FI11" s="53"/>
      <c r="FJ11" s="38"/>
      <c r="FK11" s="38"/>
      <c r="FL11" s="38"/>
      <c r="FM11" s="53"/>
      <c r="FN11" s="38"/>
      <c r="FO11" s="38"/>
      <c r="FP11" s="38"/>
      <c r="FQ11" s="53"/>
      <c r="FR11" s="38"/>
      <c r="FS11" s="38"/>
      <c r="FT11" s="38"/>
      <c r="FU11" s="53"/>
      <c r="FV11" s="54"/>
      <c r="FW11" s="38"/>
      <c r="FX11" s="38"/>
      <c r="FY11" s="53"/>
      <c r="GA11" s="35"/>
      <c r="GB11" s="35"/>
      <c r="GC11" s="35"/>
      <c r="GD11" s="35"/>
      <c r="GE11" s="35"/>
      <c r="GF11" s="35"/>
      <c r="GG11" s="35"/>
      <c r="GH11" s="35"/>
      <c r="GI11" s="35"/>
    </row>
    <row r="12" spans="1:205" s="4" customFormat="1" ht="15" customHeight="1">
      <c r="A12" s="14"/>
      <c r="B12" s="36" t="s">
        <v>7</v>
      </c>
      <c r="C12" s="35">
        <f aca="true" t="shared" si="14" ref="C12:R12">+FJ12</f>
        <v>67.07218281482731</v>
      </c>
      <c r="D12" s="35">
        <f t="shared" si="14"/>
        <v>0</v>
      </c>
      <c r="E12" s="35">
        <f t="shared" si="14"/>
        <v>0</v>
      </c>
      <c r="F12" s="35">
        <f t="shared" si="14"/>
        <v>67.07218281482731</v>
      </c>
      <c r="G12" s="35">
        <f t="shared" si="14"/>
        <v>0</v>
      </c>
      <c r="H12" s="35">
        <f t="shared" si="14"/>
        <v>0</v>
      </c>
      <c r="I12" s="35">
        <f t="shared" si="14"/>
        <v>0</v>
      </c>
      <c r="J12" s="35">
        <f t="shared" si="14"/>
        <v>0</v>
      </c>
      <c r="K12" s="35">
        <f t="shared" si="14"/>
        <v>0</v>
      </c>
      <c r="L12" s="35">
        <f t="shared" si="14"/>
        <v>0</v>
      </c>
      <c r="M12" s="35">
        <f t="shared" si="14"/>
        <v>0</v>
      </c>
      <c r="N12" s="35">
        <f t="shared" si="14"/>
        <v>0</v>
      </c>
      <c r="O12" s="35">
        <f t="shared" si="14"/>
        <v>0</v>
      </c>
      <c r="P12" s="35">
        <f t="shared" si="14"/>
        <v>0</v>
      </c>
      <c r="Q12" s="35">
        <f t="shared" si="14"/>
        <v>0</v>
      </c>
      <c r="R12" s="35">
        <f t="shared" si="14"/>
        <v>0</v>
      </c>
      <c r="S12" s="35">
        <f aca="true" t="shared" si="15" ref="S12:AH12">+ET12</f>
        <v>50.9845719432602</v>
      </c>
      <c r="T12" s="35">
        <f t="shared" si="15"/>
        <v>50.48159258986845</v>
      </c>
      <c r="U12" s="35">
        <f t="shared" si="15"/>
        <v>54.315143300845065</v>
      </c>
      <c r="V12" s="35">
        <f t="shared" si="15"/>
        <v>155.7813078339737</v>
      </c>
      <c r="W12" s="35">
        <f t="shared" si="15"/>
        <v>55.19886020430942</v>
      </c>
      <c r="X12" s="35">
        <f t="shared" si="15"/>
        <v>60.382442542028556</v>
      </c>
      <c r="Y12" s="35">
        <f t="shared" si="15"/>
        <v>59.539643215816746</v>
      </c>
      <c r="Z12" s="35">
        <f t="shared" si="15"/>
        <v>175.1209459621547</v>
      </c>
      <c r="AA12" s="35">
        <f t="shared" si="15"/>
        <v>63.78240299696968</v>
      </c>
      <c r="AB12" s="35">
        <f t="shared" si="15"/>
        <v>66.78840156703065</v>
      </c>
      <c r="AC12" s="35">
        <f t="shared" si="15"/>
        <v>70.7846335076612</v>
      </c>
      <c r="AD12" s="35">
        <f t="shared" si="15"/>
        <v>201.35543807166152</v>
      </c>
      <c r="AE12" s="35">
        <f t="shared" si="15"/>
        <v>68.70517773398214</v>
      </c>
      <c r="AF12" s="35">
        <f t="shared" si="15"/>
        <v>70.3109729832195</v>
      </c>
      <c r="AG12" s="35">
        <f t="shared" si="15"/>
        <v>71.63613865998498</v>
      </c>
      <c r="AH12" s="35">
        <f t="shared" si="15"/>
        <v>210.6522893771866</v>
      </c>
      <c r="AI12" s="35">
        <f>+C12-S12</f>
        <v>16.087610871567115</v>
      </c>
      <c r="AJ12" s="34">
        <f>+(AI12/S12)</f>
        <v>0.3155388043557711</v>
      </c>
      <c r="AK12" s="19"/>
      <c r="AL12" s="35">
        <v>62.98429751435</v>
      </c>
      <c r="AM12" s="35">
        <v>58.83251450047815</v>
      </c>
      <c r="AN12" s="35">
        <v>67.13324735485438</v>
      </c>
      <c r="AO12" s="35">
        <f>+SUM(AL12:AN12)</f>
        <v>188.95005936968252</v>
      </c>
      <c r="AP12" s="35">
        <v>67.60145708066416</v>
      </c>
      <c r="AQ12" s="35">
        <v>69.6135059377663</v>
      </c>
      <c r="AR12" s="35">
        <v>72.31222039665508</v>
      </c>
      <c r="AS12" s="35">
        <f>+SUM(AP12:AR12)</f>
        <v>209.52718341508555</v>
      </c>
      <c r="AT12" s="35">
        <v>76.60381505575364</v>
      </c>
      <c r="AU12" s="35">
        <v>71.46785304238527</v>
      </c>
      <c r="AV12" s="35">
        <v>68.84451756035944</v>
      </c>
      <c r="AW12" s="35">
        <f>+SUM(AT12:AV12)</f>
        <v>216.91618565849834</v>
      </c>
      <c r="AX12" s="35">
        <v>71.85432243144903</v>
      </c>
      <c r="AY12" s="35">
        <v>59.99846699829038</v>
      </c>
      <c r="AZ12" s="35">
        <v>51.74522322987214</v>
      </c>
      <c r="BA12" s="35">
        <f>+SUM(AX12:AZ12)</f>
        <v>183.59801265961153</v>
      </c>
      <c r="BB12" s="35">
        <v>49.253616441111625</v>
      </c>
      <c r="BC12" s="35">
        <v>44.28721841906904</v>
      </c>
      <c r="BD12" s="35">
        <v>49.841091593812315</v>
      </c>
      <c r="BE12" s="35">
        <f>+SUM(BB12:BD12)</f>
        <v>143.38192645399297</v>
      </c>
      <c r="BF12" s="35">
        <v>49.0635361450778</v>
      </c>
      <c r="BG12" s="35">
        <v>53.805643456054035</v>
      </c>
      <c r="BH12" s="35">
        <v>58.31341938821819</v>
      </c>
      <c r="BI12" s="35">
        <f>+SUM(BF12:BH12)</f>
        <v>161.18259898935003</v>
      </c>
      <c r="BJ12" s="35">
        <v>59.59106378844622</v>
      </c>
      <c r="BK12" s="35">
        <v>54.61916655819048</v>
      </c>
      <c r="BL12" s="35">
        <v>50.20625118959117</v>
      </c>
      <c r="BM12" s="35">
        <f>+SUM(BJ12:BL12)</f>
        <v>164.41648153622788</v>
      </c>
      <c r="BN12" s="35">
        <v>52.38755257996901</v>
      </c>
      <c r="BO12" s="35">
        <v>45.18196512381766</v>
      </c>
      <c r="BP12" s="35">
        <v>43.40950309799397</v>
      </c>
      <c r="BQ12" s="35">
        <f>+SUM(BN12:BP12)</f>
        <v>140.97902080178065</v>
      </c>
      <c r="BR12" s="35">
        <v>38.14082063630664</v>
      </c>
      <c r="BS12" s="35">
        <v>37.15317477480874</v>
      </c>
      <c r="BT12" s="35">
        <v>39.76249338089022</v>
      </c>
      <c r="BU12" s="35">
        <f>+SUM(BR12:BT12)</f>
        <v>115.05648879200561</v>
      </c>
      <c r="BV12" s="35">
        <v>41.9567040373536</v>
      </c>
      <c r="BW12" s="35">
        <v>46.55534393766412</v>
      </c>
      <c r="BX12" s="35">
        <v>49.0067986099969</v>
      </c>
      <c r="BY12" s="35">
        <f>+SUM(BV12:BX12)</f>
        <v>137.51884658501461</v>
      </c>
      <c r="BZ12" s="35">
        <v>51.035712820529</v>
      </c>
      <c r="CA12" s="35">
        <v>48.44005912689024</v>
      </c>
      <c r="CB12" s="35">
        <v>48.27628126721106</v>
      </c>
      <c r="CC12" s="35">
        <f>+SUM(BZ12:CB12)</f>
        <v>147.7520532146303</v>
      </c>
      <c r="CD12" s="35">
        <v>47.88833688693353</v>
      </c>
      <c r="CE12" s="35">
        <v>46.53845253978477</v>
      </c>
      <c r="CF12" s="35">
        <v>45.294332801617934</v>
      </c>
      <c r="CG12" s="35">
        <f>+SUM(CD12:CF12)</f>
        <v>139.72112222833624</v>
      </c>
      <c r="CH12" s="35">
        <v>46.471636381742314</v>
      </c>
      <c r="CI12" s="35">
        <v>46.36289920638098</v>
      </c>
      <c r="CJ12" s="35">
        <v>48.2788585201238</v>
      </c>
      <c r="CK12" s="35">
        <f>+SUM(CH12:CJ12)</f>
        <v>141.1133941082471</v>
      </c>
      <c r="CL12" s="35">
        <v>45.383982693962</v>
      </c>
      <c r="CM12" s="35">
        <v>48.98702415700526</v>
      </c>
      <c r="CN12" s="35">
        <v>50.14617313570545</v>
      </c>
      <c r="CO12" s="35">
        <f>+SUM(CL12:CN12)</f>
        <v>144.51717998667272</v>
      </c>
      <c r="CP12" s="35">
        <v>50.78311723670852</v>
      </c>
      <c r="CQ12" s="35">
        <v>52.47570012685859</v>
      </c>
      <c r="CR12" s="35">
        <v>49.398854859380606</v>
      </c>
      <c r="CS12" s="35">
        <f>+SUM(CP12:CR12)</f>
        <v>152.65767222294772</v>
      </c>
      <c r="CT12" s="35">
        <v>51.41524307154293</v>
      </c>
      <c r="CU12" s="35">
        <v>47.67287651203299</v>
      </c>
      <c r="CV12" s="35">
        <v>48.909415189396086</v>
      </c>
      <c r="CW12" s="35">
        <f>+SUM(CT12:CV12)</f>
        <v>147.99753477297202</v>
      </c>
      <c r="CX12" s="35">
        <v>45.55622923313617</v>
      </c>
      <c r="CY12" s="35">
        <v>39.44559696340801</v>
      </c>
      <c r="CZ12" s="35">
        <v>48.6206315350051</v>
      </c>
      <c r="DA12" s="35">
        <f>+SUM(CX12:CZ12)</f>
        <v>133.62245773154928</v>
      </c>
      <c r="DB12" s="35">
        <v>49.5044745669392</v>
      </c>
      <c r="DC12" s="35">
        <v>53.88881929144134</v>
      </c>
      <c r="DD12" s="35">
        <v>58.16720055843125</v>
      </c>
      <c r="DE12" s="35">
        <f>+SUM(DB12:DD12)</f>
        <v>161.56049441681176</v>
      </c>
      <c r="DF12" s="35">
        <v>61.28352247102378</v>
      </c>
      <c r="DG12" s="35">
        <v>61.339306569008635</v>
      </c>
      <c r="DH12" s="35">
        <v>58.38400183984095</v>
      </c>
      <c r="DI12" s="35">
        <f>+SUM(DF12:DH12)</f>
        <v>181.00683087987335</v>
      </c>
      <c r="DJ12" s="35">
        <v>59.58651617266774</v>
      </c>
      <c r="DK12" s="35">
        <v>59.22778393028002</v>
      </c>
      <c r="DL12" s="35">
        <v>55.4337559952658</v>
      </c>
      <c r="DM12" s="35">
        <f>+SUM(DJ12:DL12)</f>
        <v>174.24805609821357</v>
      </c>
      <c r="DN12" s="35">
        <v>52.190330869022546</v>
      </c>
      <c r="DO12" s="35">
        <v>51.52790277674018</v>
      </c>
      <c r="DP12" s="35">
        <v>57.98445783050662</v>
      </c>
      <c r="DQ12" s="35">
        <f>+SUM(DN12:DP12)</f>
        <v>161.70269147626934</v>
      </c>
      <c r="DR12" s="35">
        <v>55.4644236606704</v>
      </c>
      <c r="DS12" s="35">
        <v>60.02370090776619</v>
      </c>
      <c r="DT12" s="35">
        <v>61.5349660998069</v>
      </c>
      <c r="DU12" s="35">
        <f>+SUM(DR12:DT12)</f>
        <v>177.0230906682435</v>
      </c>
      <c r="DV12" s="35">
        <v>59.98807226470306</v>
      </c>
      <c r="DW12" s="35">
        <v>60.825840739301235</v>
      </c>
      <c r="DX12" s="35">
        <v>56.7118151499807</v>
      </c>
      <c r="DY12" s="35">
        <f>+SUM(DV12:DX12)</f>
        <v>177.525728153985</v>
      </c>
      <c r="DZ12" s="35">
        <v>56.05647522681712</v>
      </c>
      <c r="EA12" s="35">
        <v>52.702007985888095</v>
      </c>
      <c r="EB12" s="35">
        <v>49.382459196005115</v>
      </c>
      <c r="EC12" s="35">
        <f>+SUM(DZ12:EB12)</f>
        <v>158.14094240871032</v>
      </c>
      <c r="ED12" s="35">
        <v>48.7757862368711</v>
      </c>
      <c r="EE12" s="35">
        <v>48.40150928773677</v>
      </c>
      <c r="EF12" s="35">
        <v>47.48788028647681</v>
      </c>
      <c r="EG12" s="35">
        <f>+SUM(ED12:EF12)</f>
        <v>144.66517581108468</v>
      </c>
      <c r="EH12" s="35">
        <v>45.72858308149865</v>
      </c>
      <c r="EI12" s="35">
        <v>47.781963929267434</v>
      </c>
      <c r="EJ12" s="35">
        <v>51.69792349033257</v>
      </c>
      <c r="EK12" s="35">
        <f>+SUM(EH12:EJ12)</f>
        <v>145.20847050109865</v>
      </c>
      <c r="EL12" s="35">
        <v>55.07713108306544</v>
      </c>
      <c r="EM12" s="35">
        <v>54.659960324818194</v>
      </c>
      <c r="EN12" s="35">
        <v>54.4060988484696</v>
      </c>
      <c r="EO12" s="35">
        <f>+SUM(EL12:EN12)</f>
        <v>164.14319025635325</v>
      </c>
      <c r="EP12" s="35">
        <v>56.600996892386135</v>
      </c>
      <c r="EQ12" s="35">
        <v>51.923887501673505</v>
      </c>
      <c r="ER12" s="35">
        <v>53.65260005008064</v>
      </c>
      <c r="ES12" s="35">
        <f>+SUM(EP12:ER12)</f>
        <v>162.17748444414028</v>
      </c>
      <c r="ET12" s="35">
        <v>50.9845719432602</v>
      </c>
      <c r="EU12" s="35">
        <v>50.48159258986845</v>
      </c>
      <c r="EV12" s="35">
        <v>54.315143300845065</v>
      </c>
      <c r="EW12" s="35">
        <f>+SUM(ET12:EV12)</f>
        <v>155.7813078339737</v>
      </c>
      <c r="EX12" s="35">
        <v>55.19886020430942</v>
      </c>
      <c r="EY12" s="35">
        <v>60.382442542028556</v>
      </c>
      <c r="EZ12" s="75">
        <v>59.539643215816746</v>
      </c>
      <c r="FA12" s="35">
        <f>+SUM(EX12:EZ12)</f>
        <v>175.1209459621547</v>
      </c>
      <c r="FB12" s="75">
        <v>63.78240299696968</v>
      </c>
      <c r="FC12" s="35">
        <v>66.78840156703065</v>
      </c>
      <c r="FD12" s="35">
        <v>70.7846335076612</v>
      </c>
      <c r="FE12" s="35">
        <f>+SUM(FB12:FD12)</f>
        <v>201.35543807166152</v>
      </c>
      <c r="FF12" s="35">
        <v>68.70517773398214</v>
      </c>
      <c r="FG12" s="35">
        <v>70.3109729832195</v>
      </c>
      <c r="FH12" s="35">
        <v>71.63613865998498</v>
      </c>
      <c r="FI12" s="35">
        <f>+SUM(FF12:FH12)</f>
        <v>210.6522893771866</v>
      </c>
      <c r="FJ12" s="35">
        <v>67.07218281482731</v>
      </c>
      <c r="FK12" s="35"/>
      <c r="FL12" s="35"/>
      <c r="FM12" s="35">
        <f>+SUM(FJ12:FL12)</f>
        <v>67.07218281482731</v>
      </c>
      <c r="FN12" s="35"/>
      <c r="FO12" s="35"/>
      <c r="FP12" s="75"/>
      <c r="FQ12" s="35">
        <f>+SUM(FN12:FP12)</f>
        <v>0</v>
      </c>
      <c r="FR12" s="75"/>
      <c r="FS12" s="35"/>
      <c r="FT12" s="35"/>
      <c r="FU12" s="35">
        <f>+SUM(FR12:FT12)</f>
        <v>0</v>
      </c>
      <c r="FV12" s="35"/>
      <c r="FW12" s="35"/>
      <c r="FX12" s="35"/>
      <c r="FY12" s="35">
        <f>+SUM(FV12:FX12)</f>
        <v>0</v>
      </c>
      <c r="FZ12" s="33"/>
      <c r="GA12" s="16">
        <f>+AO12+AS12+AW12+BA12</f>
        <v>798.991441102878</v>
      </c>
      <c r="GB12" s="16">
        <f>+BE12+BI12+BM12+BQ12</f>
        <v>609.9600277813515</v>
      </c>
      <c r="GC12" s="28">
        <f>+BU12+BY12+CC12+CG12</f>
        <v>540.0485108199869</v>
      </c>
      <c r="GD12" s="35">
        <f>+CK12+CO12+CS12+CW12</f>
        <v>586.2857810908395</v>
      </c>
      <c r="GE12" s="35">
        <f>+DA12+DE12+DI12+DM12</f>
        <v>650.4378391264479</v>
      </c>
      <c r="GF12" s="35">
        <f>+DQ12+DU12+DY12+EC12</f>
        <v>674.3924527072081</v>
      </c>
      <c r="GG12" s="35">
        <f>+EG12+EK12+EO12+ES12</f>
        <v>616.1943210126768</v>
      </c>
      <c r="GH12" s="35">
        <f>+EW12+FA12+FE12+FI12</f>
        <v>742.9099812449765</v>
      </c>
      <c r="GI12" s="35">
        <f>+FM12+FQ12+FU12+FY12</f>
        <v>67.07218281482731</v>
      </c>
      <c r="GJ12" s="33"/>
      <c r="GK12" s="33"/>
      <c r="GL12" s="33"/>
      <c r="GM12" s="33"/>
      <c r="GN12" s="33"/>
      <c r="GO12" s="33"/>
      <c r="GP12" s="33"/>
      <c r="GQ12" s="33"/>
      <c r="GR12" s="33"/>
      <c r="GS12" s="33"/>
      <c r="GT12" s="33"/>
      <c r="GU12" s="33"/>
      <c r="GV12" s="33"/>
      <c r="GW12" s="33"/>
    </row>
    <row r="13" spans="1:191" s="33" customFormat="1" ht="15" customHeight="1" outlineLevel="1">
      <c r="A13" s="14"/>
      <c r="B13" s="1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54"/>
      <c r="AJ13" s="34"/>
      <c r="AK13" s="19"/>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65"/>
      <c r="DU13" s="54"/>
      <c r="DV13" s="65"/>
      <c r="DW13" s="65"/>
      <c r="DX13" s="65"/>
      <c r="DY13" s="54"/>
      <c r="DZ13" s="65"/>
      <c r="EA13" s="65"/>
      <c r="EB13" s="65"/>
      <c r="EC13" s="54"/>
      <c r="ED13" s="54"/>
      <c r="EE13" s="54"/>
      <c r="EF13" s="54"/>
      <c r="EG13" s="54"/>
      <c r="EH13" s="54"/>
      <c r="EI13" s="54"/>
      <c r="EJ13" s="54"/>
      <c r="EK13" s="54"/>
      <c r="EL13" s="54"/>
      <c r="EM13" s="54"/>
      <c r="EN13" s="54"/>
      <c r="EO13" s="54"/>
      <c r="EP13" s="54"/>
      <c r="EQ13" s="65"/>
      <c r="ER13" s="65"/>
      <c r="ES13" s="54"/>
      <c r="ET13" s="54"/>
      <c r="EU13" s="65"/>
      <c r="EV13" s="65"/>
      <c r="EW13" s="54"/>
      <c r="EX13" s="54"/>
      <c r="EY13" s="65"/>
      <c r="EZ13" s="65"/>
      <c r="FA13" s="54"/>
      <c r="FB13" s="54"/>
      <c r="FC13" s="65"/>
      <c r="FD13" s="65"/>
      <c r="FE13" s="54"/>
      <c r="FF13" s="54"/>
      <c r="FG13" s="65"/>
      <c r="FH13" s="65"/>
      <c r="FI13" s="54"/>
      <c r="FJ13" s="54"/>
      <c r="FK13" s="65"/>
      <c r="FL13" s="65"/>
      <c r="FM13" s="54"/>
      <c r="FN13" s="54"/>
      <c r="FO13" s="65"/>
      <c r="FP13" s="65"/>
      <c r="FQ13" s="54"/>
      <c r="FR13" s="54"/>
      <c r="FS13" s="65"/>
      <c r="FT13" s="65"/>
      <c r="FU13" s="54"/>
      <c r="FV13" s="54"/>
      <c r="FW13" s="65"/>
      <c r="FX13" s="65"/>
      <c r="FY13" s="54"/>
      <c r="GA13" s="35"/>
      <c r="GB13" s="35"/>
      <c r="GC13" s="35"/>
      <c r="GD13" s="35"/>
      <c r="GE13" s="35"/>
      <c r="GF13" s="35"/>
      <c r="GG13" s="35"/>
      <c r="GH13" s="35"/>
      <c r="GI13" s="35"/>
    </row>
    <row r="14" spans="1:205" s="4" customFormat="1" ht="15" customHeight="1">
      <c r="A14" s="20"/>
      <c r="B14" s="36" t="s">
        <v>8</v>
      </c>
      <c r="C14" s="35">
        <f aca="true" t="shared" si="16" ref="C14:R14">+FJ14</f>
        <v>437.7640736168716</v>
      </c>
      <c r="D14" s="35">
        <f t="shared" si="16"/>
        <v>0</v>
      </c>
      <c r="E14" s="35">
        <f t="shared" si="16"/>
        <v>0</v>
      </c>
      <c r="F14" s="35">
        <f t="shared" si="16"/>
        <v>437.7640736168716</v>
      </c>
      <c r="G14" s="35">
        <f t="shared" si="16"/>
        <v>0</v>
      </c>
      <c r="H14" s="35">
        <f t="shared" si="16"/>
        <v>0</v>
      </c>
      <c r="I14" s="35">
        <f t="shared" si="16"/>
        <v>0</v>
      </c>
      <c r="J14" s="35">
        <f t="shared" si="16"/>
        <v>0</v>
      </c>
      <c r="K14" s="35">
        <f t="shared" si="16"/>
        <v>0</v>
      </c>
      <c r="L14" s="35">
        <f t="shared" si="16"/>
        <v>0</v>
      </c>
      <c r="M14" s="35">
        <f t="shared" si="16"/>
        <v>0</v>
      </c>
      <c r="N14" s="35">
        <f t="shared" si="16"/>
        <v>0</v>
      </c>
      <c r="O14" s="35">
        <f t="shared" si="16"/>
        <v>0</v>
      </c>
      <c r="P14" s="35">
        <f t="shared" si="16"/>
        <v>0</v>
      </c>
      <c r="Q14" s="35">
        <f t="shared" si="16"/>
        <v>0</v>
      </c>
      <c r="R14" s="35">
        <f t="shared" si="16"/>
        <v>0</v>
      </c>
      <c r="S14" s="35">
        <f aca="true" t="shared" si="17" ref="S14:AH14">+ET14</f>
        <v>384.443927420117</v>
      </c>
      <c r="T14" s="35">
        <f t="shared" si="17"/>
        <v>378.333389373496</v>
      </c>
      <c r="U14" s="35">
        <f t="shared" si="17"/>
        <v>463.4348098357668</v>
      </c>
      <c r="V14" s="35">
        <f t="shared" si="17"/>
        <v>1226.2121266293798</v>
      </c>
      <c r="W14" s="35">
        <f t="shared" si="17"/>
        <v>491.39678764250414</v>
      </c>
      <c r="X14" s="35">
        <f t="shared" si="17"/>
        <v>535.575229398731</v>
      </c>
      <c r="Y14" s="35">
        <f t="shared" si="17"/>
        <v>531.5656702682066</v>
      </c>
      <c r="Z14" s="35">
        <f t="shared" si="17"/>
        <v>1558.537687309442</v>
      </c>
      <c r="AA14" s="35">
        <f t="shared" si="17"/>
        <v>557.0029083378097</v>
      </c>
      <c r="AB14" s="35">
        <f t="shared" si="17"/>
        <v>541.8315413372716</v>
      </c>
      <c r="AC14" s="35">
        <f t="shared" si="17"/>
        <v>439.61734120094314</v>
      </c>
      <c r="AD14" s="35">
        <f t="shared" si="17"/>
        <v>1538.4517908760245</v>
      </c>
      <c r="AE14" s="35">
        <f t="shared" si="17"/>
        <v>462.10421281181806</v>
      </c>
      <c r="AF14" s="35">
        <f t="shared" si="17"/>
        <v>416.85634698438076</v>
      </c>
      <c r="AG14" s="35">
        <f t="shared" si="17"/>
        <v>429.6468006086511</v>
      </c>
      <c r="AH14" s="35">
        <f t="shared" si="17"/>
        <v>1308.60736040485</v>
      </c>
      <c r="AI14" s="35">
        <f>+C14-S14</f>
        <v>53.32014619675459</v>
      </c>
      <c r="AJ14" s="34">
        <f>+(AI14/S14)</f>
        <v>0.13869420842349994</v>
      </c>
      <c r="AK14" s="19"/>
      <c r="AL14" s="35">
        <v>310.161869796142</v>
      </c>
      <c r="AM14" s="35">
        <v>272.131975132807</v>
      </c>
      <c r="AN14" s="35">
        <v>306.770839590832</v>
      </c>
      <c r="AO14" s="35">
        <f>+SUM(AL14:AN14)</f>
        <v>889.064684519781</v>
      </c>
      <c r="AP14" s="35">
        <v>300.906638601786</v>
      </c>
      <c r="AQ14" s="35">
        <v>322.030847618568</v>
      </c>
      <c r="AR14" s="35">
        <v>320.461669199787</v>
      </c>
      <c r="AS14" s="35">
        <f>+SUM(AP14:AR14)</f>
        <v>943.399155420141</v>
      </c>
      <c r="AT14" s="35">
        <v>319.978423851174</v>
      </c>
      <c r="AU14" s="35">
        <v>313.178318314459</v>
      </c>
      <c r="AV14" s="35">
        <v>300.656228003859</v>
      </c>
      <c r="AW14" s="35">
        <f>+SUM(AT14:AV14)</f>
        <v>933.812970169492</v>
      </c>
      <c r="AX14" s="35">
        <v>303.791262709414</v>
      </c>
      <c r="AY14" s="35">
        <v>274.721163761305</v>
      </c>
      <c r="AZ14" s="35">
        <v>280.516011528047</v>
      </c>
      <c r="BA14" s="35">
        <f>+SUM(AX14:AZ14)</f>
        <v>859.028437998766</v>
      </c>
      <c r="BB14" s="35">
        <v>210.170439706754</v>
      </c>
      <c r="BC14" s="35">
        <v>198.42592843990028</v>
      </c>
      <c r="BD14" s="35">
        <v>246.370713235919</v>
      </c>
      <c r="BE14" s="35">
        <f>+SUM(BB14:BD14)</f>
        <v>654.9670813825733</v>
      </c>
      <c r="BF14" s="35">
        <v>242.162357150865</v>
      </c>
      <c r="BG14" s="35">
        <v>247.357244012583</v>
      </c>
      <c r="BH14" s="35">
        <v>306.858187255943</v>
      </c>
      <c r="BI14" s="35">
        <f>+SUM(BF14:BH14)</f>
        <v>796.377788419391</v>
      </c>
      <c r="BJ14" s="35">
        <v>309.19913153539216</v>
      </c>
      <c r="BK14" s="35">
        <v>315.004586702466</v>
      </c>
      <c r="BL14" s="35">
        <v>319.691643123676</v>
      </c>
      <c r="BM14" s="35">
        <f>+SUM(BJ14:BL14)</f>
        <v>943.895361361534</v>
      </c>
      <c r="BN14" s="35">
        <v>333.491583731531</v>
      </c>
      <c r="BO14" s="35">
        <v>281.664339924253</v>
      </c>
      <c r="BP14" s="35">
        <v>275.727564597817</v>
      </c>
      <c r="BQ14" s="35">
        <f>+SUM(BN14:BP14)</f>
        <v>890.883488253601</v>
      </c>
      <c r="BR14" s="35">
        <v>268.813065145338</v>
      </c>
      <c r="BS14" s="35">
        <v>266.573867516104</v>
      </c>
      <c r="BT14" s="35">
        <v>321.971547717436</v>
      </c>
      <c r="BU14" s="35">
        <f>+SUM(BR14:BT14)</f>
        <v>857.358480378878</v>
      </c>
      <c r="BV14" s="35">
        <v>318.887571980544</v>
      </c>
      <c r="BW14" s="35">
        <v>343.670535175168</v>
      </c>
      <c r="BX14" s="35">
        <v>340.191524760819</v>
      </c>
      <c r="BY14" s="35">
        <f>+SUM(BV14:BX14)</f>
        <v>1002.749631916531</v>
      </c>
      <c r="BZ14" s="35">
        <v>350.96771287374</v>
      </c>
      <c r="CA14" s="35">
        <v>267.563680318317</v>
      </c>
      <c r="CB14" s="35">
        <v>323.693801988703</v>
      </c>
      <c r="CC14" s="35">
        <f>+SUM(BZ14:CB14)</f>
        <v>942.22519518076</v>
      </c>
      <c r="CD14" s="35">
        <v>280.503567910283</v>
      </c>
      <c r="CE14" s="35">
        <v>246.561221541935</v>
      </c>
      <c r="CF14" s="35">
        <v>240.546208470364</v>
      </c>
      <c r="CG14" s="35">
        <f>+SUM(CD14:CF14)</f>
        <v>767.610997922582</v>
      </c>
      <c r="CH14" s="35">
        <v>116.274439691858</v>
      </c>
      <c r="CI14" s="35">
        <v>104.99134699289742</v>
      </c>
      <c r="CJ14" s="35">
        <v>153.17316109797113</v>
      </c>
      <c r="CK14" s="35">
        <f>+SUM(CH14:CJ14)</f>
        <v>374.4389477827266</v>
      </c>
      <c r="CL14" s="35">
        <v>188.89892426032966</v>
      </c>
      <c r="CM14" s="35">
        <v>290.710566532007</v>
      </c>
      <c r="CN14" s="35">
        <v>261.78385528631156</v>
      </c>
      <c r="CO14" s="35">
        <f>+SUM(CL14:CN14)</f>
        <v>741.3933460786483</v>
      </c>
      <c r="CP14" s="35">
        <v>292.7816977765846</v>
      </c>
      <c r="CQ14" s="35">
        <v>288.92323865460514</v>
      </c>
      <c r="CR14" s="35">
        <v>283.07135059809036</v>
      </c>
      <c r="CS14" s="35">
        <f>+SUM(CP14:CR14)</f>
        <v>864.7762870292801</v>
      </c>
      <c r="CT14" s="35">
        <v>292.39190356789675</v>
      </c>
      <c r="CU14" s="35">
        <v>264.1869587828433</v>
      </c>
      <c r="CV14" s="35">
        <v>233.46640705134675</v>
      </c>
      <c r="CW14" s="35">
        <f>+SUM(CT14:CV14)</f>
        <v>790.0452694020869</v>
      </c>
      <c r="CX14" s="35">
        <v>257.9369341364822</v>
      </c>
      <c r="CY14" s="35">
        <v>244.537626582147</v>
      </c>
      <c r="CZ14" s="35">
        <v>269.08285555647626</v>
      </c>
      <c r="DA14" s="35">
        <f>+SUM(CX14:CZ14)</f>
        <v>771.5574162751054</v>
      </c>
      <c r="DB14" s="35">
        <v>258.6763999558456</v>
      </c>
      <c r="DC14" s="35">
        <v>293.9349604169418</v>
      </c>
      <c r="DD14" s="35">
        <v>296.9191214389739</v>
      </c>
      <c r="DE14" s="35">
        <f>+SUM(DB14:DD14)</f>
        <v>849.5304818117613</v>
      </c>
      <c r="DF14" s="35">
        <v>328.4468672088353</v>
      </c>
      <c r="DG14" s="35">
        <v>315.28729016180324</v>
      </c>
      <c r="DH14" s="35">
        <v>317.24817036697874</v>
      </c>
      <c r="DI14" s="35">
        <f>+SUM(DF14:DH14)</f>
        <v>960.9823277376172</v>
      </c>
      <c r="DJ14" s="35">
        <v>311.76161138957997</v>
      </c>
      <c r="DK14" s="35">
        <v>290.65962269996567</v>
      </c>
      <c r="DL14" s="35">
        <v>286.95525207917643</v>
      </c>
      <c r="DM14" s="35">
        <f>+SUM(DJ14:DL14)</f>
        <v>889.3764861687221</v>
      </c>
      <c r="DN14" s="35">
        <v>246.35141792024157</v>
      </c>
      <c r="DO14" s="35">
        <v>232.73876396775893</v>
      </c>
      <c r="DP14" s="35">
        <v>328.33973844411327</v>
      </c>
      <c r="DQ14" s="35">
        <f>+SUM(DN14:DP14)</f>
        <v>807.4299203321139</v>
      </c>
      <c r="DR14" s="35">
        <v>310.9236346758367</v>
      </c>
      <c r="DS14" s="35">
        <v>340.613533158765</v>
      </c>
      <c r="DT14" s="35">
        <v>318.48869490710575</v>
      </c>
      <c r="DU14" s="35">
        <f>+SUM(DR14:DT14)</f>
        <v>970.0258627417074</v>
      </c>
      <c r="DV14" s="35">
        <v>403.9624139223293</v>
      </c>
      <c r="DW14" s="35">
        <v>362.08560628226564</v>
      </c>
      <c r="DX14" s="35">
        <v>386.505970198125</v>
      </c>
      <c r="DY14" s="35">
        <f>+SUM(DV14:DX14)</f>
        <v>1152.5539904027198</v>
      </c>
      <c r="DZ14" s="35">
        <v>393.8828969124715</v>
      </c>
      <c r="EA14" s="35">
        <v>344.5760579606843</v>
      </c>
      <c r="EB14" s="35">
        <v>352.82292541869833</v>
      </c>
      <c r="EC14" s="35">
        <f>+SUM(DZ14:EB14)</f>
        <v>1091.2818802918541</v>
      </c>
      <c r="ED14" s="35">
        <v>335.8801836914131</v>
      </c>
      <c r="EE14" s="35">
        <v>355.46218405754814</v>
      </c>
      <c r="EF14" s="35">
        <v>339.96531933459386</v>
      </c>
      <c r="EG14" s="35">
        <f>+SUM(ED14:EF14)</f>
        <v>1031.307687083555</v>
      </c>
      <c r="EH14" s="35">
        <v>316.2819407995513</v>
      </c>
      <c r="EI14" s="35">
        <v>412.7057328806453</v>
      </c>
      <c r="EJ14" s="35">
        <v>432.01045500000004</v>
      </c>
      <c r="EK14" s="35">
        <f>+SUM(EH14:EJ14)</f>
        <v>1160.9981286801967</v>
      </c>
      <c r="EL14" s="35">
        <v>473.148604</v>
      </c>
      <c r="EM14" s="35">
        <v>430.28711137689163</v>
      </c>
      <c r="EN14" s="35">
        <v>412.99915806201136</v>
      </c>
      <c r="EO14" s="35">
        <f>+SUM(EL14:EN14)</f>
        <v>1316.434873438903</v>
      </c>
      <c r="EP14" s="35">
        <v>470.4014376707115</v>
      </c>
      <c r="EQ14" s="35">
        <v>470.6843666064484</v>
      </c>
      <c r="ER14" s="35">
        <v>497.4590277564951</v>
      </c>
      <c r="ES14" s="35">
        <f>+SUM(EP14:ER14)</f>
        <v>1438.544832033655</v>
      </c>
      <c r="ET14" s="35">
        <v>384.443927420117</v>
      </c>
      <c r="EU14" s="35">
        <v>378.333389373496</v>
      </c>
      <c r="EV14" s="35">
        <v>463.4348098357668</v>
      </c>
      <c r="EW14" s="35">
        <f>+SUM(ET14:EV14)</f>
        <v>1226.2121266293798</v>
      </c>
      <c r="EX14" s="75">
        <v>491.39678764250414</v>
      </c>
      <c r="EY14" s="35">
        <v>535.575229398731</v>
      </c>
      <c r="EZ14" s="35">
        <v>531.5656702682066</v>
      </c>
      <c r="FA14" s="35">
        <f>+SUM(EX14:EZ14)</f>
        <v>1558.537687309442</v>
      </c>
      <c r="FB14" s="35">
        <v>557.0029083378097</v>
      </c>
      <c r="FC14" s="35">
        <v>541.8315413372716</v>
      </c>
      <c r="FD14" s="35">
        <v>439.61734120094314</v>
      </c>
      <c r="FE14" s="35">
        <f>+SUM(FB14:FD14)</f>
        <v>1538.4517908760245</v>
      </c>
      <c r="FF14" s="35">
        <v>462.10421281181806</v>
      </c>
      <c r="FG14" s="35">
        <v>416.85634698438076</v>
      </c>
      <c r="FH14" s="35">
        <v>429.6468006086511</v>
      </c>
      <c r="FI14" s="35">
        <f>+SUM(FF14:FH14)</f>
        <v>1308.60736040485</v>
      </c>
      <c r="FJ14" s="35">
        <v>437.7640736168716</v>
      </c>
      <c r="FK14" s="35"/>
      <c r="FL14" s="35"/>
      <c r="FM14" s="35">
        <f>+SUM(FJ14:FL14)</f>
        <v>437.7640736168716</v>
      </c>
      <c r="FN14" s="75"/>
      <c r="FO14" s="35"/>
      <c r="FP14" s="35"/>
      <c r="FQ14" s="35">
        <f>+SUM(FN14:FP14)</f>
        <v>0</v>
      </c>
      <c r="FR14" s="35"/>
      <c r="FS14" s="35"/>
      <c r="FT14" s="35"/>
      <c r="FU14" s="35">
        <f>+SUM(FR14:FT14)</f>
        <v>0</v>
      </c>
      <c r="FV14" s="35"/>
      <c r="FW14" s="35"/>
      <c r="FX14" s="35"/>
      <c r="FY14" s="35">
        <f>+SUM(FV14:FX14)</f>
        <v>0</v>
      </c>
      <c r="FZ14" s="66"/>
      <c r="GA14" s="16">
        <f>+AO14+AS14+AW14+BA14</f>
        <v>3625.3052481081804</v>
      </c>
      <c r="GB14" s="16">
        <f>+BE14+BI14+BM14+BQ14</f>
        <v>3286.123719417099</v>
      </c>
      <c r="GC14" s="28">
        <f>+BU14+BY14+CC14+CG14</f>
        <v>3569.944305398751</v>
      </c>
      <c r="GD14" s="35">
        <f>+CK14+CO14+CS14+CW14</f>
        <v>2770.653850292742</v>
      </c>
      <c r="GE14" s="35">
        <f>+DA14+DE14+DI14+DM14</f>
        <v>3471.446711993206</v>
      </c>
      <c r="GF14" s="35">
        <f>+DQ14+DU14+DY14+EC14</f>
        <v>4021.2916537683955</v>
      </c>
      <c r="GG14" s="35">
        <f>+EG14+EK14+EO14+ES14</f>
        <v>4947.28552123631</v>
      </c>
      <c r="GH14" s="35">
        <f>+EW14+FA14+FE14+FI14</f>
        <v>5631.808965219696</v>
      </c>
      <c r="GI14" s="35">
        <f>+FM14+FQ14+FU14+FY14</f>
        <v>437.7640736168716</v>
      </c>
      <c r="GJ14" s="33"/>
      <c r="GK14" s="33"/>
      <c r="GL14" s="33"/>
      <c r="GM14" s="33"/>
      <c r="GN14" s="33"/>
      <c r="GO14" s="33"/>
      <c r="GP14" s="33"/>
      <c r="GQ14" s="33"/>
      <c r="GR14" s="33"/>
      <c r="GS14" s="33"/>
      <c r="GT14" s="33"/>
      <c r="GU14" s="33"/>
      <c r="GV14" s="33"/>
      <c r="GW14" s="33"/>
    </row>
    <row r="15" spans="1:191" s="33" customFormat="1" ht="15" customHeight="1" outlineLevel="1">
      <c r="A15" s="20"/>
      <c r="B15" s="1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4"/>
      <c r="AK15" s="19"/>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68"/>
      <c r="EJ15" s="68"/>
      <c r="EK15" s="35"/>
      <c r="EL15" s="68"/>
      <c r="EM15" s="68"/>
      <c r="EN15" s="68"/>
      <c r="EO15" s="35"/>
      <c r="EP15" s="68"/>
      <c r="EQ15" s="35"/>
      <c r="ER15" s="35"/>
      <c r="ES15" s="35"/>
      <c r="ET15" s="68"/>
      <c r="EU15" s="35"/>
      <c r="EV15" s="35"/>
      <c r="EW15" s="35"/>
      <c r="EX15" s="68"/>
      <c r="EY15" s="35"/>
      <c r="EZ15" s="35"/>
      <c r="FA15" s="35"/>
      <c r="FB15" s="68"/>
      <c r="FC15" s="35"/>
      <c r="FD15" s="35"/>
      <c r="FE15" s="35"/>
      <c r="FF15" s="35"/>
      <c r="FG15" s="35"/>
      <c r="FH15" s="35"/>
      <c r="FI15" s="35"/>
      <c r="FJ15" s="68"/>
      <c r="FK15" s="35"/>
      <c r="FL15" s="35"/>
      <c r="FM15" s="35"/>
      <c r="FN15" s="68"/>
      <c r="FO15" s="35"/>
      <c r="FP15" s="35"/>
      <c r="FQ15" s="35"/>
      <c r="FR15" s="68"/>
      <c r="FS15" s="35"/>
      <c r="FT15" s="35"/>
      <c r="FU15" s="35"/>
      <c r="FV15" s="35"/>
      <c r="FW15" s="35"/>
      <c r="FX15" s="35"/>
      <c r="FY15" s="35"/>
      <c r="FZ15" s="66"/>
      <c r="GA15" s="35"/>
      <c r="GB15" s="35"/>
      <c r="GC15" s="35"/>
      <c r="GD15" s="35"/>
      <c r="GE15" s="35"/>
      <c r="GF15" s="35"/>
      <c r="GG15" s="35"/>
      <c r="GH15" s="35"/>
      <c r="GI15" s="35"/>
    </row>
    <row r="16" spans="1:205" s="4" customFormat="1" ht="15" customHeight="1">
      <c r="A16" s="20"/>
      <c r="B16" s="36" t="s">
        <v>9</v>
      </c>
      <c r="C16" s="35">
        <f aca="true" t="shared" si="18" ref="C16:R16">+FJ16</f>
        <v>13.507026939837443</v>
      </c>
      <c r="D16" s="35">
        <f t="shared" si="18"/>
        <v>0</v>
      </c>
      <c r="E16" s="35">
        <f t="shared" si="18"/>
        <v>0</v>
      </c>
      <c r="F16" s="35">
        <f t="shared" si="18"/>
        <v>13.507026939837443</v>
      </c>
      <c r="G16" s="35">
        <f t="shared" si="18"/>
        <v>0</v>
      </c>
      <c r="H16" s="35">
        <f t="shared" si="18"/>
        <v>0</v>
      </c>
      <c r="I16" s="35">
        <f t="shared" si="18"/>
        <v>0</v>
      </c>
      <c r="J16" s="35">
        <f t="shared" si="18"/>
        <v>0</v>
      </c>
      <c r="K16" s="35">
        <f t="shared" si="18"/>
        <v>0</v>
      </c>
      <c r="L16" s="35">
        <f t="shared" si="18"/>
        <v>0</v>
      </c>
      <c r="M16" s="35">
        <f t="shared" si="18"/>
        <v>0</v>
      </c>
      <c r="N16" s="35">
        <f t="shared" si="18"/>
        <v>0</v>
      </c>
      <c r="O16" s="35">
        <f t="shared" si="18"/>
        <v>0</v>
      </c>
      <c r="P16" s="35">
        <f t="shared" si="18"/>
        <v>0</v>
      </c>
      <c r="Q16" s="35">
        <f t="shared" si="18"/>
        <v>0</v>
      </c>
      <c r="R16" s="35">
        <f t="shared" si="18"/>
        <v>0</v>
      </c>
      <c r="S16" s="35">
        <f aca="true" t="shared" si="19" ref="S16:AH16">+ET16</f>
        <v>10.282187692600143</v>
      </c>
      <c r="T16" s="35">
        <f t="shared" si="19"/>
        <v>10.424863239172542</v>
      </c>
      <c r="U16" s="35">
        <f t="shared" si="19"/>
        <v>10.216821614813352</v>
      </c>
      <c r="V16" s="35">
        <f t="shared" si="19"/>
        <v>10.301504095343386</v>
      </c>
      <c r="W16" s="35">
        <f t="shared" si="19"/>
        <v>10.413624625384585</v>
      </c>
      <c r="X16" s="35">
        <f t="shared" si="19"/>
        <v>10.34575576826494</v>
      </c>
      <c r="Y16" s="35">
        <f t="shared" si="19"/>
        <v>10.501563295088884</v>
      </c>
      <c r="Z16" s="35">
        <f t="shared" si="19"/>
        <v>10.420295172569698</v>
      </c>
      <c r="AA16" s="35">
        <f t="shared" si="19"/>
        <v>10.707897156419634</v>
      </c>
      <c r="AB16" s="35">
        <f t="shared" si="19"/>
        <v>10.918478477966504</v>
      </c>
      <c r="AC16" s="35">
        <f t="shared" si="19"/>
        <v>11.587667474686675</v>
      </c>
      <c r="AD16" s="35">
        <f t="shared" si="19"/>
        <v>11.033459447799231</v>
      </c>
      <c r="AE16" s="35">
        <f t="shared" si="19"/>
        <v>11.87171304463368</v>
      </c>
      <c r="AF16" s="35">
        <f t="shared" si="19"/>
        <v>12.597645219234794</v>
      </c>
      <c r="AG16" s="35">
        <f t="shared" si="19"/>
        <v>13.721275915759223</v>
      </c>
      <c r="AH16" s="35">
        <f t="shared" si="19"/>
        <v>12.710213757503599</v>
      </c>
      <c r="AI16" s="75">
        <f>+C16-S16</f>
        <v>3.2248392472373</v>
      </c>
      <c r="AJ16" s="34">
        <f>+(AI16/S16)</f>
        <v>0.3136335713418404</v>
      </c>
      <c r="AK16" s="19"/>
      <c r="AL16" s="75">
        <f aca="true" t="shared" si="20" ref="AL16:CQ16">+(AL18/AL14)*100</f>
        <v>18.016437998753762</v>
      </c>
      <c r="AM16" s="75">
        <f t="shared" si="20"/>
        <v>18.220986385101284</v>
      </c>
      <c r="AN16" s="75">
        <f t="shared" si="20"/>
        <v>18.286439710032738</v>
      </c>
      <c r="AO16" s="75">
        <f t="shared" si="20"/>
        <v>18.172211600448218</v>
      </c>
      <c r="AP16" s="75">
        <f t="shared" si="20"/>
        <v>18.210415857010343</v>
      </c>
      <c r="AQ16" s="75">
        <f t="shared" si="20"/>
        <v>18.13356685972181</v>
      </c>
      <c r="AR16" s="75">
        <f t="shared" si="20"/>
        <v>18.39195559031623</v>
      </c>
      <c r="AS16" s="75">
        <f>+(AS18/AS14)*100</f>
        <v>18.245850251914945</v>
      </c>
      <c r="AT16" s="75">
        <f t="shared" si="20"/>
        <v>18.690716913177134</v>
      </c>
      <c r="AU16" s="75">
        <f t="shared" si="20"/>
        <v>18.14386568798157</v>
      </c>
      <c r="AV16" s="75">
        <f t="shared" si="20"/>
        <v>18.063313745021556</v>
      </c>
      <c r="AW16" s="75">
        <f>+(AW18/AW14)*100</f>
        <v>18.305313595224767</v>
      </c>
      <c r="AX16" s="75">
        <f t="shared" si="20"/>
        <v>17.32064382024007</v>
      </c>
      <c r="AY16" s="75">
        <f t="shared" si="20"/>
        <v>15.900859711689014</v>
      </c>
      <c r="AZ16" s="75">
        <f t="shared" si="20"/>
        <v>14.585804658416986</v>
      </c>
      <c r="BA16" s="75">
        <f>+(BA18/BA14)*100</f>
        <v>15.973527863133732</v>
      </c>
      <c r="BB16" s="75">
        <f t="shared" si="20"/>
        <v>13.262241369820604</v>
      </c>
      <c r="BC16" s="75">
        <f t="shared" si="20"/>
        <v>12.599465705096973</v>
      </c>
      <c r="BD16" s="75">
        <f t="shared" si="20"/>
        <v>13.02327170406816</v>
      </c>
      <c r="BE16" s="75">
        <f>+(BE18/BE14)*100</f>
        <v>12.971559579811482</v>
      </c>
      <c r="BF16" s="75">
        <f t="shared" si="20"/>
        <v>12.77661019469957</v>
      </c>
      <c r="BG16" s="75">
        <f t="shared" si="20"/>
        <v>13.158644611871534</v>
      </c>
      <c r="BH16" s="75">
        <f t="shared" si="20"/>
        <v>13.833341313149516</v>
      </c>
      <c r="BI16" s="75">
        <f>+(BI18/BI14)*100</f>
        <v>13.302448034558529</v>
      </c>
      <c r="BJ16" s="75">
        <f t="shared" si="20"/>
        <v>13.480615789434843</v>
      </c>
      <c r="BK16" s="75">
        <f t="shared" si="20"/>
        <v>12.387645224782247</v>
      </c>
      <c r="BL16" s="75">
        <f t="shared" si="20"/>
        <v>11.620128074256476</v>
      </c>
      <c r="BM16" s="75">
        <f>+(BM18/BM14)*100</f>
        <v>12.485724666844138</v>
      </c>
      <c r="BN16" s="75">
        <f t="shared" si="20"/>
        <v>11.652481092436417</v>
      </c>
      <c r="BO16" s="75">
        <f t="shared" si="20"/>
        <v>11.772633467139453</v>
      </c>
      <c r="BP16" s="75">
        <f t="shared" si="20"/>
        <v>11.378053581731166</v>
      </c>
      <c r="BQ16" s="75">
        <f>+(BQ18/BQ14)*100</f>
        <v>11.605533775053392</v>
      </c>
      <c r="BR16" s="75">
        <f t="shared" si="20"/>
        <v>10.40426850581669</v>
      </c>
      <c r="BS16" s="75">
        <f t="shared" si="20"/>
        <v>9.865118541591823</v>
      </c>
      <c r="BT16" s="75">
        <f t="shared" si="20"/>
        <v>9.493024748104014</v>
      </c>
      <c r="BU16" s="75">
        <f>+(BU18/BU14)*100</f>
        <v>9.89442593219448</v>
      </c>
      <c r="BV16" s="75">
        <f t="shared" si="20"/>
        <v>9.95181268428389</v>
      </c>
      <c r="BW16" s="75">
        <f t="shared" si="20"/>
        <v>10.265324379924628</v>
      </c>
      <c r="BX16" s="75">
        <f t="shared" si="20"/>
        <v>10.89579681837329</v>
      </c>
      <c r="BY16" s="75">
        <f>+(BY18/BY14)*100</f>
        <v>10.37951678957557</v>
      </c>
      <c r="BZ16" s="75">
        <f t="shared" si="20"/>
        <v>10.747027764072104</v>
      </c>
      <c r="CA16" s="75">
        <f t="shared" si="20"/>
        <v>10.687209464568646</v>
      </c>
      <c r="CB16" s="75">
        <f t="shared" si="20"/>
        <v>9.985151054342717</v>
      </c>
      <c r="CC16" s="75">
        <f>+(CC18/CC14)*100</f>
        <v>10.468304615372928</v>
      </c>
      <c r="CD16" s="75">
        <f t="shared" si="20"/>
        <v>10.611400706832518</v>
      </c>
      <c r="CE16" s="75">
        <f t="shared" si="20"/>
        <v>11.832222447100078</v>
      </c>
      <c r="CF16" s="75">
        <f t="shared" si="20"/>
        <v>11.334342601707956</v>
      </c>
      <c r="CG16" s="75">
        <f>+(CG18/CG14)*100</f>
        <v>11.230084170992427</v>
      </c>
      <c r="CH16" s="75">
        <f t="shared" si="20"/>
        <v>12.374427605563389</v>
      </c>
      <c r="CI16" s="75">
        <f t="shared" si="20"/>
        <v>12.755718957422799</v>
      </c>
      <c r="CJ16" s="75">
        <f t="shared" si="20"/>
        <v>11.39453198174472</v>
      </c>
      <c r="CK16" s="75">
        <f>+(CK18/CK14)*100</f>
        <v>12.080490721407372</v>
      </c>
      <c r="CL16" s="75">
        <f t="shared" si="20"/>
        <v>11.560985315334944</v>
      </c>
      <c r="CM16" s="75">
        <f t="shared" si="20"/>
        <v>11.069554720762401</v>
      </c>
      <c r="CN16" s="75">
        <f t="shared" si="20"/>
        <v>11.121420838700146</v>
      </c>
      <c r="CO16" s="75">
        <f>+(CO18/CO14)*100</f>
        <v>11.213079643853034</v>
      </c>
      <c r="CP16" s="75">
        <f t="shared" si="20"/>
        <v>10.514812818282532</v>
      </c>
      <c r="CQ16" s="75">
        <f t="shared" si="20"/>
        <v>10.605636269421112</v>
      </c>
      <c r="CR16" s="75">
        <f aca="true" t="shared" si="21" ref="CR16:DF16">+(CR18/CR14)*100</f>
        <v>10.58520775007561</v>
      </c>
      <c r="CS16" s="75">
        <f t="shared" si="21"/>
        <v>10.568199797966344</v>
      </c>
      <c r="CT16" s="75">
        <f t="shared" si="21"/>
        <v>10.695091614786614</v>
      </c>
      <c r="CU16" s="75">
        <f t="shared" si="21"/>
        <v>10.764555100404312</v>
      </c>
      <c r="CV16" s="75">
        <f t="shared" si="21"/>
        <v>10.976367192736387</v>
      </c>
      <c r="CW16" s="75">
        <f t="shared" si="21"/>
        <v>10.801439629060031</v>
      </c>
      <c r="CX16" s="75">
        <f t="shared" si="21"/>
        <v>10.906382829616328</v>
      </c>
      <c r="CY16" s="75">
        <f t="shared" si="21"/>
        <v>10.710372782599025</v>
      </c>
      <c r="CZ16" s="75">
        <f t="shared" si="21"/>
        <v>10.982041107723168</v>
      </c>
      <c r="DA16" s="75">
        <f t="shared" si="21"/>
        <v>10.870645390531744</v>
      </c>
      <c r="DB16" s="75">
        <f t="shared" si="21"/>
        <v>10.720549237253483</v>
      </c>
      <c r="DC16" s="75">
        <f t="shared" si="21"/>
        <v>11.032735097384375</v>
      </c>
      <c r="DD16" s="75">
        <f t="shared" si="21"/>
        <v>11.36816793877831</v>
      </c>
      <c r="DE16" s="75">
        <f t="shared" si="21"/>
        <v>11.054913595456044</v>
      </c>
      <c r="DF16" s="75">
        <f t="shared" si="21"/>
        <v>11.553922809256747</v>
      </c>
      <c r="DG16" s="75">
        <f aca="true" t="shared" si="22" ref="DG16:DP16">+(DG18/DG14)*100</f>
        <v>11.504897419978438</v>
      </c>
      <c r="DH16" s="75">
        <f t="shared" si="22"/>
        <v>11.903901739356108</v>
      </c>
      <c r="DI16" s="75">
        <f t="shared" si="22"/>
        <v>11.653376347940785</v>
      </c>
      <c r="DJ16" s="75">
        <f t="shared" si="22"/>
        <v>11.357664715087369</v>
      </c>
      <c r="DK16" s="75">
        <f t="shared" si="22"/>
        <v>11.704815687352859</v>
      </c>
      <c r="DL16" s="75">
        <f t="shared" si="22"/>
        <v>11.704480004181635</v>
      </c>
      <c r="DM16" s="75">
        <f t="shared" si="22"/>
        <v>11.583017242889133</v>
      </c>
      <c r="DN16" s="75">
        <f t="shared" si="22"/>
        <v>12.008402162637417</v>
      </c>
      <c r="DO16" s="75">
        <f t="shared" si="22"/>
        <v>11.693478376307489</v>
      </c>
      <c r="DP16" s="75">
        <f t="shared" si="22"/>
        <v>11.90693633089737</v>
      </c>
      <c r="DQ16" s="75">
        <f aca="true" t="shared" si="23" ref="DQ16:DV16">+(DQ18/DQ14)*100</f>
        <v>11.87636564188876</v>
      </c>
      <c r="DR16" s="75">
        <f t="shared" si="23"/>
        <v>11.380057905826375</v>
      </c>
      <c r="DS16" s="75">
        <f t="shared" si="23"/>
        <v>11.377289675969545</v>
      </c>
      <c r="DT16" s="75">
        <f t="shared" si="23"/>
        <v>11.056261954241263</v>
      </c>
      <c r="DU16" s="75">
        <f t="shared" si="23"/>
        <v>11.272773914145436</v>
      </c>
      <c r="DV16" s="75">
        <f t="shared" si="23"/>
        <v>9.466169022653887</v>
      </c>
      <c r="DW16" s="75">
        <f aca="true" t="shared" si="24" ref="DW16:EG16">+(DW18/DW14)*100</f>
        <v>10.308398073402126</v>
      </c>
      <c r="DX16" s="75">
        <f t="shared" si="24"/>
        <v>10.331316782475799</v>
      </c>
      <c r="DY16" s="75">
        <f t="shared" si="24"/>
        <v>10.020888190751185</v>
      </c>
      <c r="DZ16" s="75">
        <f t="shared" si="24"/>
        <v>10.021084443113285</v>
      </c>
      <c r="EA16" s="75">
        <f t="shared" si="24"/>
        <v>10.302925230019206</v>
      </c>
      <c r="EB16" s="75">
        <f t="shared" si="24"/>
        <v>10.276294497704033</v>
      </c>
      <c r="EC16" s="75">
        <f t="shared" si="24"/>
        <v>10.192588752642823</v>
      </c>
      <c r="ED16" s="75">
        <f t="shared" si="24"/>
        <v>10.335984259181084</v>
      </c>
      <c r="EE16" s="75">
        <f>+(EE18/EE14)*100</f>
        <v>10.188957716618209</v>
      </c>
      <c r="EF16" s="75">
        <f>+(EF18/EF14)*100</f>
        <v>10.076975558818436</v>
      </c>
      <c r="EG16" s="75">
        <f t="shared" si="24"/>
        <v>10.199927529244496</v>
      </c>
      <c r="EH16" s="75">
        <f aca="true" t="shared" si="25" ref="EH16:EM16">+(EH18/EH14)*100</f>
        <v>10.12242600043399</v>
      </c>
      <c r="EI16" s="75">
        <f t="shared" si="25"/>
        <v>9.617763961619776</v>
      </c>
      <c r="EJ16" s="75">
        <f t="shared" si="25"/>
        <v>9.589773994952038</v>
      </c>
      <c r="EK16" s="75">
        <f t="shared" si="25"/>
        <v>9.744830084470598</v>
      </c>
      <c r="EL16" s="75">
        <f t="shared" si="25"/>
        <v>9.510113674675031</v>
      </c>
      <c r="EM16" s="75">
        <f t="shared" si="25"/>
        <v>9.702915431007135</v>
      </c>
      <c r="EN16" s="75">
        <f aca="true" t="shared" si="26" ref="EN16:ES16">+(EN18/EN14)*100</f>
        <v>9.73445533707347</v>
      </c>
      <c r="EO16" s="75">
        <f t="shared" si="26"/>
        <v>9.643514142888522</v>
      </c>
      <c r="EP16" s="75">
        <f t="shared" si="26"/>
        <v>9.803187057080436</v>
      </c>
      <c r="EQ16" s="75">
        <f t="shared" si="26"/>
        <v>9.880305518244882</v>
      </c>
      <c r="ER16" s="75">
        <f t="shared" si="26"/>
        <v>9.890569132042753</v>
      </c>
      <c r="ES16" s="75">
        <f t="shared" si="26"/>
        <v>9.858637157991218</v>
      </c>
      <c r="ET16" s="75">
        <f aca="true" t="shared" si="27" ref="ET16:FH16">+(ET18/ET14)*100</f>
        <v>10.282187692600143</v>
      </c>
      <c r="EU16" s="75">
        <f t="shared" si="27"/>
        <v>10.424863239172542</v>
      </c>
      <c r="EV16" s="75">
        <f t="shared" si="27"/>
        <v>10.216821614813352</v>
      </c>
      <c r="EW16" s="75">
        <f t="shared" si="27"/>
        <v>10.301504095343386</v>
      </c>
      <c r="EX16" s="75">
        <f t="shared" si="27"/>
        <v>10.413624625384585</v>
      </c>
      <c r="EY16" s="75">
        <f t="shared" si="27"/>
        <v>10.34575576826494</v>
      </c>
      <c r="EZ16" s="75">
        <f t="shared" si="27"/>
        <v>10.501563295088884</v>
      </c>
      <c r="FA16" s="75">
        <f>+_xlfn.IFERROR((FA18/FA14)*100,0)</f>
        <v>10.420295172569698</v>
      </c>
      <c r="FB16" s="75">
        <f t="shared" si="27"/>
        <v>10.707897156419634</v>
      </c>
      <c r="FC16" s="75">
        <f t="shared" si="27"/>
        <v>10.918478477966504</v>
      </c>
      <c r="FD16" s="75">
        <f t="shared" si="27"/>
        <v>11.587667474686675</v>
      </c>
      <c r="FE16" s="75">
        <f>+_xlfn.IFERROR((FE18/FE14)*100,0)</f>
        <v>11.033459447799231</v>
      </c>
      <c r="FF16" s="35">
        <f t="shared" si="27"/>
        <v>11.87171304463368</v>
      </c>
      <c r="FG16" s="35">
        <f t="shared" si="27"/>
        <v>12.597645219234794</v>
      </c>
      <c r="FH16" s="35">
        <f t="shared" si="27"/>
        <v>13.721275915759223</v>
      </c>
      <c r="FI16" s="75">
        <f>+_xlfn.IFERROR((FI18/FI14)*100,0)</f>
        <v>12.710213757503599</v>
      </c>
      <c r="FJ16" s="35">
        <f>+(FJ18/FJ14)*100</f>
        <v>13.507026939837443</v>
      </c>
      <c r="FK16" s="35"/>
      <c r="FL16" s="75"/>
      <c r="FM16" s="75">
        <f>+(FM18/FM14)*100</f>
        <v>13.507026939837443</v>
      </c>
      <c r="FN16" s="75"/>
      <c r="FO16" s="75"/>
      <c r="FP16" s="75"/>
      <c r="FQ16" s="75">
        <f>+_xlfn.IFERROR((FQ18/FQ14)*100,0)</f>
        <v>0</v>
      </c>
      <c r="FR16" s="75"/>
      <c r="FS16" s="75"/>
      <c r="FT16" s="75"/>
      <c r="FU16" s="75">
        <f>+_xlfn.IFERROR((FU18/FU14)*100,0)</f>
        <v>0</v>
      </c>
      <c r="FV16" s="35"/>
      <c r="FW16" s="35"/>
      <c r="FX16" s="35"/>
      <c r="FY16" s="75">
        <f>+_xlfn.IFERROR((FY18/FY14)*100,0)</f>
        <v>0</v>
      </c>
      <c r="FZ16" s="61"/>
      <c r="GA16" s="17">
        <f aca="true" t="shared" si="28" ref="GA16:GF16">+(GA18/GA14)*100</f>
        <v>17.70467335750294</v>
      </c>
      <c r="GB16" s="17">
        <f t="shared" si="28"/>
        <v>12.54186336034894</v>
      </c>
      <c r="GC16" s="27">
        <f t="shared" si="28"/>
        <v>10.469340667815493</v>
      </c>
      <c r="GD16" s="27">
        <f t="shared" si="28"/>
        <v>11.011647568945435</v>
      </c>
      <c r="GE16" s="27">
        <f t="shared" si="28"/>
        <v>11.314926687986757</v>
      </c>
      <c r="GF16" s="27">
        <f t="shared" si="28"/>
        <v>10.742025452394548</v>
      </c>
      <c r="GG16" s="27">
        <f>+(GG18/GG14)*100</f>
        <v>9.84583218547134</v>
      </c>
      <c r="GH16" s="27">
        <f>+(GH18/GH14)*100</f>
        <v>11.094015633668853</v>
      </c>
      <c r="GI16" s="75">
        <f>+(GI18/GI14)*100</f>
        <v>13.507026939837443</v>
      </c>
      <c r="GJ16" s="33"/>
      <c r="GK16" s="33"/>
      <c r="GL16" s="33"/>
      <c r="GM16" s="33"/>
      <c r="GN16" s="33"/>
      <c r="GO16" s="33"/>
      <c r="GP16" s="33"/>
      <c r="GQ16" s="33"/>
      <c r="GR16" s="33"/>
      <c r="GS16" s="33"/>
      <c r="GT16" s="33"/>
      <c r="GU16" s="33"/>
      <c r="GV16" s="33"/>
      <c r="GW16" s="33"/>
    </row>
    <row r="17" spans="1:191" s="33" customFormat="1" ht="15" customHeight="1" outlineLevel="1">
      <c r="A17" s="20"/>
      <c r="B17" s="1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35"/>
      <c r="AJ17" s="34"/>
      <c r="AK17" s="19"/>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61"/>
      <c r="GA17" s="27"/>
      <c r="GB17" s="27"/>
      <c r="GC17" s="27"/>
      <c r="GD17" s="27"/>
      <c r="GE17" s="27"/>
      <c r="GF17" s="27"/>
      <c r="GG17" s="27"/>
      <c r="GH17" s="27"/>
      <c r="GI17" s="75"/>
    </row>
    <row r="18" spans="1:205" s="4" customFormat="1" ht="15" customHeight="1">
      <c r="A18" s="20"/>
      <c r="B18" s="36" t="s">
        <v>10</v>
      </c>
      <c r="C18" s="35">
        <f aca="true" t="shared" si="29" ref="C18:R18">+FJ18</f>
        <v>59.12891135636066</v>
      </c>
      <c r="D18" s="35">
        <f t="shared" si="29"/>
        <v>0</v>
      </c>
      <c r="E18" s="35">
        <f t="shared" si="29"/>
        <v>0</v>
      </c>
      <c r="F18" s="35">
        <f t="shared" si="29"/>
        <v>59.12891135636066</v>
      </c>
      <c r="G18" s="35">
        <f t="shared" si="29"/>
        <v>0</v>
      </c>
      <c r="H18" s="35">
        <f t="shared" si="29"/>
        <v>0</v>
      </c>
      <c r="I18" s="35">
        <f t="shared" si="29"/>
        <v>0</v>
      </c>
      <c r="J18" s="35">
        <f t="shared" si="29"/>
        <v>0</v>
      </c>
      <c r="K18" s="35">
        <f t="shared" si="29"/>
        <v>0</v>
      </c>
      <c r="L18" s="35">
        <f t="shared" si="29"/>
        <v>0</v>
      </c>
      <c r="M18" s="35">
        <f t="shared" si="29"/>
        <v>0</v>
      </c>
      <c r="N18" s="35">
        <f t="shared" si="29"/>
        <v>0</v>
      </c>
      <c r="O18" s="35">
        <f t="shared" si="29"/>
        <v>0</v>
      </c>
      <c r="P18" s="35">
        <f t="shared" si="29"/>
        <v>0</v>
      </c>
      <c r="Q18" s="35">
        <f t="shared" si="29"/>
        <v>0</v>
      </c>
      <c r="R18" s="35">
        <f t="shared" si="29"/>
        <v>0</v>
      </c>
      <c r="S18" s="35">
        <f aca="true" t="shared" si="30" ref="S18:AH18">+ET18</f>
        <v>39.5292461901399</v>
      </c>
      <c r="T18" s="35">
        <f t="shared" si="30"/>
        <v>39.4407384303131</v>
      </c>
      <c r="U18" s="35">
        <f t="shared" si="30"/>
        <v>47.34830782186978</v>
      </c>
      <c r="V18" s="35">
        <f t="shared" si="30"/>
        <v>126.31829244232279</v>
      </c>
      <c r="W18" s="35">
        <f t="shared" si="30"/>
        <v>51.1722168862886</v>
      </c>
      <c r="X18" s="35">
        <f t="shared" si="30"/>
        <v>55.4093051889174</v>
      </c>
      <c r="Y18" s="35">
        <f t="shared" si="30"/>
        <v>55.822705318179196</v>
      </c>
      <c r="Z18" s="35">
        <f t="shared" si="30"/>
        <v>162.4042273933852</v>
      </c>
      <c r="AA18" s="35">
        <f t="shared" si="30"/>
        <v>59.64329858307898</v>
      </c>
      <c r="AB18" s="35">
        <f t="shared" si="30"/>
        <v>59.15976022774418</v>
      </c>
      <c r="AC18" s="35">
        <f t="shared" si="30"/>
        <v>50.94139565942404</v>
      </c>
      <c r="AD18" s="35">
        <f t="shared" si="30"/>
        <v>169.7444544702472</v>
      </c>
      <c r="AE18" s="35">
        <f t="shared" si="30"/>
        <v>54.85968611218239</v>
      </c>
      <c r="AF18" s="35">
        <f t="shared" si="30"/>
        <v>52.51408366695465</v>
      </c>
      <c r="AG18" s="35">
        <f t="shared" si="30"/>
        <v>58.953022974744904</v>
      </c>
      <c r="AH18" s="35">
        <f t="shared" si="30"/>
        <v>166.32679275388193</v>
      </c>
      <c r="AI18" s="35">
        <f>+C18-S18</f>
        <v>19.59966516622076</v>
      </c>
      <c r="AJ18" s="34">
        <f>+(AI18/S18)</f>
        <v>0.495826939677632</v>
      </c>
      <c r="AK18" s="19"/>
      <c r="AL18" s="35">
        <v>55.8801209675973</v>
      </c>
      <c r="AM18" s="35">
        <v>49.58513013845597</v>
      </c>
      <c r="AN18" s="35">
        <v>56.09746462973873</v>
      </c>
      <c r="AO18" s="35">
        <f>+SUM(AL18:AN18)</f>
        <v>161.562715735792</v>
      </c>
      <c r="AP18" s="35">
        <v>54.796350230736444</v>
      </c>
      <c r="AQ18" s="35">
        <v>58.395679061841875</v>
      </c>
      <c r="AR18" s="35">
        <v>58.939167883210935</v>
      </c>
      <c r="AS18" s="35">
        <f>+SUM(AP18:AR18)</f>
        <v>172.13119717578925</v>
      </c>
      <c r="AT18" s="35">
        <v>59.806261385268996</v>
      </c>
      <c r="AU18" s="35">
        <v>56.82265343885482</v>
      </c>
      <c r="AV18" s="35">
        <v>54.308477758284404</v>
      </c>
      <c r="AW18" s="35">
        <f>+SUM(AT18:AV18)</f>
        <v>170.93739258240822</v>
      </c>
      <c r="AX18" s="35">
        <v>52.61860257090739</v>
      </c>
      <c r="AY18" s="35">
        <v>43.683026848004545</v>
      </c>
      <c r="AZ18" s="35">
        <v>40.91551747706341</v>
      </c>
      <c r="BA18" s="35">
        <f>+SUM(AX18:AZ18)</f>
        <v>137.21714689597536</v>
      </c>
      <c r="BB18" s="35">
        <v>27.873311001922996</v>
      </c>
      <c r="BC18" s="35">
        <v>25.0006068038055</v>
      </c>
      <c r="BD18" s="35">
        <v>32.08552738396435</v>
      </c>
      <c r="BE18" s="35">
        <f>+SUM(BB18:BD18)</f>
        <v>84.95944518969284</v>
      </c>
      <c r="BF18" s="35">
        <v>30.9401404114622</v>
      </c>
      <c r="BG18" s="35">
        <v>32.548860661335674</v>
      </c>
      <c r="BH18" s="35">
        <v>42.44874039045806</v>
      </c>
      <c r="BI18" s="35">
        <f>+SUM(BF18:BH18)</f>
        <v>105.93774146325595</v>
      </c>
      <c r="BJ18" s="35">
        <v>41.681946946555485</v>
      </c>
      <c r="BK18" s="35">
        <v>39.02165064249308</v>
      </c>
      <c r="BL18" s="35">
        <v>37.1485783736661</v>
      </c>
      <c r="BM18" s="35">
        <f>+SUM(BJ18:BL18)</f>
        <v>117.85217596271467</v>
      </c>
      <c r="BN18" s="35">
        <v>38.86004373918342</v>
      </c>
      <c r="BO18" s="35">
        <v>33.15931034692004</v>
      </c>
      <c r="BP18" s="35">
        <v>31.372430039542028</v>
      </c>
      <c r="BQ18" s="35">
        <f>+SUM(BN18:BP18)</f>
        <v>103.39178412564547</v>
      </c>
      <c r="BR18" s="35">
        <v>27.9680330764369</v>
      </c>
      <c r="BS18" s="35">
        <v>26.297828031369594</v>
      </c>
      <c r="BT18" s="35">
        <v>30.564838706669725</v>
      </c>
      <c r="BU18" s="35">
        <f>+SUM(BR18:BT18)</f>
        <v>84.83069981447622</v>
      </c>
      <c r="BV18" s="35">
        <v>31.7350938369647</v>
      </c>
      <c r="BW18" s="35">
        <v>35.27889523395397</v>
      </c>
      <c r="BX18" s="35">
        <v>37.066577331264895</v>
      </c>
      <c r="BY18" s="35">
        <f>+SUM(BV18:BX18)</f>
        <v>104.08056640218356</v>
      </c>
      <c r="BZ18" s="35">
        <v>37.718597545469706</v>
      </c>
      <c r="CA18" s="35">
        <v>28.59509096672737</v>
      </c>
      <c r="CB18" s="35">
        <v>32.321315082117</v>
      </c>
      <c r="CC18" s="35">
        <f>+SUM(BZ18:CB18)</f>
        <v>98.63500359431407</v>
      </c>
      <c r="CD18" s="35">
        <v>29.7653575879222</v>
      </c>
      <c r="CE18" s="35">
        <v>29.173672201128987</v>
      </c>
      <c r="CF18" s="35">
        <v>27.264331383449697</v>
      </c>
      <c r="CG18" s="35">
        <f>+SUM(CD18:CF18)</f>
        <v>86.20336117250089</v>
      </c>
      <c r="CH18" s="35">
        <v>14.38829636344343</v>
      </c>
      <c r="CI18" s="35">
        <v>13.392401152026567</v>
      </c>
      <c r="CJ18" s="35">
        <v>17.45336482875768</v>
      </c>
      <c r="CK18" s="35">
        <f>+SUM(CH18:CJ18)</f>
        <v>45.23406234422768</v>
      </c>
      <c r="CL18" s="35">
        <v>21.83857689456239</v>
      </c>
      <c r="CM18" s="35">
        <v>32.1803652412989</v>
      </c>
      <c r="CN18" s="35">
        <v>29.11408423416449</v>
      </c>
      <c r="CO18" s="35">
        <f>+SUM(CL18:CN18)</f>
        <v>83.13302637002579</v>
      </c>
      <c r="CP18" s="35">
        <v>30.785447487397544</v>
      </c>
      <c r="CQ18" s="35">
        <v>30.64214778953892</v>
      </c>
      <c r="CR18" s="35">
        <v>29.96369054175276</v>
      </c>
      <c r="CS18" s="35">
        <f>+SUM(CP18:CR18)</f>
        <v>91.39128581868923</v>
      </c>
      <c r="CT18" s="35">
        <v>31.27158196080509</v>
      </c>
      <c r="CU18" s="35">
        <v>28.438550746261598</v>
      </c>
      <c r="CV18" s="35">
        <v>25.626130109644414</v>
      </c>
      <c r="CW18" s="35">
        <f>+SUM(CT18:CV18)</f>
        <v>85.3362628167111</v>
      </c>
      <c r="CX18" s="35">
        <v>28.131589495900073</v>
      </c>
      <c r="CY18" s="35">
        <v>26.190891400667912</v>
      </c>
      <c r="CZ18" s="35">
        <v>29.550789811047576</v>
      </c>
      <c r="DA18" s="35">
        <f>+SUM(CX18:CZ18)</f>
        <v>83.87327070761556</v>
      </c>
      <c r="DB18" s="35">
        <v>27.731530822421178</v>
      </c>
      <c r="DC18" s="35">
        <v>32.42906554140281</v>
      </c>
      <c r="DD18" s="35">
        <v>33.75426436752767</v>
      </c>
      <c r="DE18" s="35">
        <f>+SUM(DB18:DD18)</f>
        <v>93.91486073135165</v>
      </c>
      <c r="DF18" s="35">
        <v>37.94849750673084</v>
      </c>
      <c r="DG18" s="35">
        <v>36.27347931134523</v>
      </c>
      <c r="DH18" s="35">
        <v>37.76491047039021</v>
      </c>
      <c r="DI18" s="35">
        <f>+SUM(DF18:DH18)</f>
        <v>111.98688728846628</v>
      </c>
      <c r="DJ18" s="35">
        <v>35.40883853198213</v>
      </c>
      <c r="DK18" s="35">
        <v>34.02117311458621</v>
      </c>
      <c r="DL18" s="35">
        <v>33.58662010055621</v>
      </c>
      <c r="DM18" s="35">
        <f>+SUM(DJ18:DL18)</f>
        <v>103.01663174712456</v>
      </c>
      <c r="DN18" s="35">
        <v>29.582868997222228</v>
      </c>
      <c r="DO18" s="35">
        <v>27.215257037855217</v>
      </c>
      <c r="DP18" s="35">
        <v>39.09520360557552</v>
      </c>
      <c r="DQ18" s="35">
        <f>+SUM(DN18:DP18)</f>
        <v>95.89332964065296</v>
      </c>
      <c r="DR18" s="35">
        <v>35.38328966901027</v>
      </c>
      <c r="DS18" s="35">
        <v>38.75258834302727</v>
      </c>
      <c r="DT18" s="35">
        <v>35.212944403573864</v>
      </c>
      <c r="DU18" s="35">
        <f>+SUM(DR18:DT18)</f>
        <v>109.34882241561141</v>
      </c>
      <c r="DV18" s="35">
        <v>38.239764889880405</v>
      </c>
      <c r="DW18" s="35">
        <v>37.325225662067474</v>
      </c>
      <c r="DX18" s="35">
        <v>39.9311561643498</v>
      </c>
      <c r="DY18" s="35">
        <f>+SUM(DV18:DX18)</f>
        <v>115.49614671629769</v>
      </c>
      <c r="DZ18" s="35">
        <v>39.47133770657962</v>
      </c>
      <c r="EA18" s="35">
        <v>35.501413612236945</v>
      </c>
      <c r="EB18" s="35">
        <v>36.257122871440096</v>
      </c>
      <c r="EC18" s="35">
        <f>+SUM(DZ18:EB18)</f>
        <v>111.22987419025665</v>
      </c>
      <c r="ED18" s="35">
        <v>34.716522916052966</v>
      </c>
      <c r="EE18" s="35">
        <v>36.21789163219117</v>
      </c>
      <c r="EF18" s="35">
        <v>34.258222137806065</v>
      </c>
      <c r="EG18" s="35">
        <f>+SUM(ED18:EF18)</f>
        <v>105.19263668605021</v>
      </c>
      <c r="EH18" s="35">
        <v>32.01540541017102</v>
      </c>
      <c r="EI18" s="35">
        <v>39.693063244533484</v>
      </c>
      <c r="EJ18" s="35">
        <v>41.42882626906398</v>
      </c>
      <c r="EK18" s="35">
        <f>+SUM(EH18:EJ18)</f>
        <v>113.13729492376848</v>
      </c>
      <c r="EL18" s="35">
        <v>44.99697009053801</v>
      </c>
      <c r="EM18" s="35">
        <v>41.750394527423275</v>
      </c>
      <c r="EN18" s="35">
        <v>40.20321858403596</v>
      </c>
      <c r="EO18" s="35">
        <f>+SUM(EL18:EN18)</f>
        <v>126.95058320199723</v>
      </c>
      <c r="EP18" s="35">
        <v>46.11433285405548</v>
      </c>
      <c r="EQ18" s="35">
        <v>46.505053447332884</v>
      </c>
      <c r="ER18" s="35">
        <v>49.20152904384389</v>
      </c>
      <c r="ES18" s="35">
        <f>+SUM(EP18:ER18)</f>
        <v>141.82091534523227</v>
      </c>
      <c r="ET18" s="35">
        <v>39.5292461901399</v>
      </c>
      <c r="EU18" s="35">
        <v>39.4407384303131</v>
      </c>
      <c r="EV18" s="35">
        <v>47.34830782186978</v>
      </c>
      <c r="EW18" s="35">
        <f>+SUM(ET18:EV18)</f>
        <v>126.31829244232279</v>
      </c>
      <c r="EX18" s="35">
        <v>51.1722168862886</v>
      </c>
      <c r="EY18" s="35">
        <v>55.4093051889174</v>
      </c>
      <c r="EZ18" s="35">
        <v>55.822705318179196</v>
      </c>
      <c r="FA18" s="35">
        <f>+SUM(EX18:EZ18)</f>
        <v>162.4042273933852</v>
      </c>
      <c r="FB18" s="35">
        <v>59.64329858307898</v>
      </c>
      <c r="FC18" s="35">
        <v>59.15976022774418</v>
      </c>
      <c r="FD18" s="35">
        <v>50.94139565942404</v>
      </c>
      <c r="FE18" s="35">
        <f>+SUM(FB18:FD18)</f>
        <v>169.7444544702472</v>
      </c>
      <c r="FF18" s="35">
        <v>54.85968611218239</v>
      </c>
      <c r="FG18" s="35">
        <v>52.51408366695465</v>
      </c>
      <c r="FH18" s="35">
        <v>58.953022974744904</v>
      </c>
      <c r="FI18" s="35">
        <f>+SUM(FF18:FH18)</f>
        <v>166.32679275388193</v>
      </c>
      <c r="FJ18" s="35">
        <v>59.12891135636066</v>
      </c>
      <c r="FK18" s="35"/>
      <c r="FL18" s="35"/>
      <c r="FM18" s="35">
        <f>+SUM(FJ18:FL18)</f>
        <v>59.12891135636066</v>
      </c>
      <c r="FN18" s="35"/>
      <c r="FO18" s="35"/>
      <c r="FP18" s="35"/>
      <c r="FQ18" s="35">
        <f>+SUM(FN18:FP18)</f>
        <v>0</v>
      </c>
      <c r="FR18" s="35"/>
      <c r="FS18" s="35"/>
      <c r="FT18" s="35"/>
      <c r="FU18" s="35">
        <f>+SUM(FR18:FT18)</f>
        <v>0</v>
      </c>
      <c r="FV18" s="35"/>
      <c r="FW18" s="35"/>
      <c r="FX18" s="35"/>
      <c r="FY18" s="35">
        <f>+SUM(FV18:FX18)</f>
        <v>0</v>
      </c>
      <c r="FZ18" s="61"/>
      <c r="GA18" s="16">
        <f>+AO18+AS18+AW18+BA18</f>
        <v>641.8484523899649</v>
      </c>
      <c r="GB18" s="16">
        <f>+BE18+BI18+BM18+BQ18</f>
        <v>412.14114674130894</v>
      </c>
      <c r="GC18" s="28">
        <f>+BU18+BY18+CC18+CG18</f>
        <v>373.74963098347473</v>
      </c>
      <c r="GD18" s="35">
        <f>+CK18+CO18+CS18+CW18</f>
        <v>305.0946373496538</v>
      </c>
      <c r="GE18" s="35">
        <f>+DA18+DE18+DI18+DM18</f>
        <v>392.791650474558</v>
      </c>
      <c r="GF18" s="35">
        <f>+DQ18+DU18+DY18+EC18</f>
        <v>431.9681729628187</v>
      </c>
      <c r="GG18" s="35">
        <f>+EG18+EK18+EO18+ES18</f>
        <v>487.1014301570482</v>
      </c>
      <c r="GH18" s="35">
        <f>+EW18+FA18+FE18+FI18</f>
        <v>624.7937670598371</v>
      </c>
      <c r="GI18" s="35">
        <f>+FM18+FQ18+FU18+FY18</f>
        <v>59.12891135636066</v>
      </c>
      <c r="GJ18" s="33"/>
      <c r="GK18" s="33"/>
      <c r="GL18" s="33"/>
      <c r="GM18" s="33"/>
      <c r="GN18" s="33"/>
      <c r="GO18" s="33"/>
      <c r="GP18" s="33"/>
      <c r="GQ18" s="33"/>
      <c r="GR18" s="33"/>
      <c r="GS18" s="33"/>
      <c r="GT18" s="33"/>
      <c r="GU18" s="33"/>
      <c r="GV18" s="33"/>
      <c r="GW18" s="33"/>
    </row>
    <row r="19" spans="1:191" s="33" customFormat="1" ht="15" customHeight="1" outlineLevel="1">
      <c r="A19" s="20"/>
      <c r="B19" s="1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4"/>
      <c r="AK19" s="19"/>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68"/>
      <c r="EJ19" s="68"/>
      <c r="EK19" s="35"/>
      <c r="EL19" s="68"/>
      <c r="EM19" s="68"/>
      <c r="EN19" s="68"/>
      <c r="EO19" s="35"/>
      <c r="EP19" s="68"/>
      <c r="EQ19" s="35"/>
      <c r="ER19" s="35"/>
      <c r="ES19" s="35"/>
      <c r="ET19" s="68"/>
      <c r="EU19" s="35"/>
      <c r="EV19" s="35"/>
      <c r="EW19" s="35"/>
      <c r="EX19" s="68"/>
      <c r="EY19" s="35"/>
      <c r="EZ19" s="35"/>
      <c r="FA19" s="35"/>
      <c r="FB19" s="68"/>
      <c r="FC19" s="35"/>
      <c r="FD19" s="35"/>
      <c r="FE19" s="35"/>
      <c r="FF19" s="35"/>
      <c r="FG19" s="35"/>
      <c r="FH19" s="35"/>
      <c r="FI19" s="35"/>
      <c r="FJ19" s="68"/>
      <c r="FK19" s="35"/>
      <c r="FL19" s="35"/>
      <c r="FM19" s="35"/>
      <c r="FN19" s="68"/>
      <c r="FO19" s="35"/>
      <c r="FP19" s="35"/>
      <c r="FQ19" s="35"/>
      <c r="FR19" s="68"/>
      <c r="FS19" s="35"/>
      <c r="FT19" s="35"/>
      <c r="FU19" s="35"/>
      <c r="FV19" s="35"/>
      <c r="FW19" s="35"/>
      <c r="FX19" s="35"/>
      <c r="FY19" s="35"/>
      <c r="FZ19" s="61"/>
      <c r="GA19" s="35"/>
      <c r="GB19" s="35"/>
      <c r="GC19" s="35"/>
      <c r="GD19" s="35"/>
      <c r="GE19" s="35"/>
      <c r="GF19" s="35"/>
      <c r="GG19" s="35"/>
      <c r="GH19" s="35"/>
      <c r="GI19" s="35"/>
    </row>
    <row r="20" spans="1:205" s="4" customFormat="1" ht="15" customHeight="1">
      <c r="A20" s="20"/>
      <c r="B20" s="36" t="s">
        <v>11</v>
      </c>
      <c r="C20" s="35">
        <f aca="true" t="shared" si="31" ref="C20:R20">+FJ20</f>
        <v>14.216057503928308</v>
      </c>
      <c r="D20" s="35">
        <f t="shared" si="31"/>
        <v>0</v>
      </c>
      <c r="E20" s="35">
        <f t="shared" si="31"/>
        <v>0</v>
      </c>
      <c r="F20" s="35">
        <f t="shared" si="31"/>
        <v>14.216057503928308</v>
      </c>
      <c r="G20" s="35">
        <f t="shared" si="31"/>
        <v>0</v>
      </c>
      <c r="H20" s="35">
        <f t="shared" si="31"/>
        <v>0</v>
      </c>
      <c r="I20" s="35">
        <f t="shared" si="31"/>
        <v>0</v>
      </c>
      <c r="J20" s="35">
        <f t="shared" si="31"/>
        <v>0</v>
      </c>
      <c r="K20" s="35">
        <f t="shared" si="31"/>
        <v>0</v>
      </c>
      <c r="L20" s="35">
        <f t="shared" si="31"/>
        <v>0</v>
      </c>
      <c r="M20" s="35">
        <f t="shared" si="31"/>
        <v>0</v>
      </c>
      <c r="N20" s="35">
        <f t="shared" si="31"/>
        <v>0</v>
      </c>
      <c r="O20" s="35">
        <f t="shared" si="31"/>
        <v>0</v>
      </c>
      <c r="P20" s="35">
        <f t="shared" si="31"/>
        <v>0</v>
      </c>
      <c r="Q20" s="35">
        <f t="shared" si="31"/>
        <v>0</v>
      </c>
      <c r="R20" s="35">
        <f t="shared" si="31"/>
        <v>0</v>
      </c>
      <c r="S20" s="35">
        <f aca="true" t="shared" si="32" ref="S20:AH20">+ET20</f>
        <v>42.1201092834181</v>
      </c>
      <c r="T20" s="35">
        <f t="shared" si="32"/>
        <v>32.6458533831222</v>
      </c>
      <c r="U20" s="35">
        <f t="shared" si="32"/>
        <v>-8.276817607079506</v>
      </c>
      <c r="V20" s="35">
        <f t="shared" si="32"/>
        <v>66.4891450594608</v>
      </c>
      <c r="W20" s="35">
        <f t="shared" si="32"/>
        <v>-39.90186156035589</v>
      </c>
      <c r="X20" s="35">
        <f t="shared" si="32"/>
        <v>-33.047786700156465</v>
      </c>
      <c r="Y20" s="35">
        <f t="shared" si="32"/>
        <v>-45.645173069191635</v>
      </c>
      <c r="Z20" s="35">
        <f t="shared" si="32"/>
        <v>-118.59482132970399</v>
      </c>
      <c r="AA20" s="35">
        <f t="shared" si="32"/>
        <v>-35.87717583623696</v>
      </c>
      <c r="AB20" s="35">
        <f t="shared" si="32"/>
        <v>-20.745620059671708</v>
      </c>
      <c r="AC20" s="35">
        <f t="shared" si="32"/>
        <v>97.88571791905649</v>
      </c>
      <c r="AD20" s="35">
        <f t="shared" si="32"/>
        <v>41.26292202314782</v>
      </c>
      <c r="AE20" s="35">
        <f t="shared" si="32"/>
        <v>60.04263878698262</v>
      </c>
      <c r="AF20" s="35">
        <f t="shared" si="32"/>
        <v>86.68538300149274</v>
      </c>
      <c r="AG20" s="35">
        <f t="shared" si="32"/>
        <v>48.11056866024894</v>
      </c>
      <c r="AH20" s="35">
        <f t="shared" si="32"/>
        <v>194.8385904487243</v>
      </c>
      <c r="AI20" s="35">
        <f>+C20-S20</f>
        <v>-27.904051779489794</v>
      </c>
      <c r="AJ20" s="34">
        <f>+(AI20/S20)</f>
        <v>-0.6624876396148168</v>
      </c>
      <c r="AK20" s="19"/>
      <c r="AL20" s="35">
        <v>45.2515672338579</v>
      </c>
      <c r="AM20" s="35">
        <v>54.0089091971923</v>
      </c>
      <c r="AN20" s="35">
        <v>66.5491813601084</v>
      </c>
      <c r="AO20" s="35">
        <f>+SUM(AL20:AN20)</f>
        <v>165.8096577911586</v>
      </c>
      <c r="AP20" s="35">
        <v>69.2635057535051</v>
      </c>
      <c r="AQ20" s="35">
        <v>64.4660526327943</v>
      </c>
      <c r="AR20" s="35">
        <v>70.8662311896006</v>
      </c>
      <c r="AS20" s="35">
        <f>+SUM(AP20:AR20)</f>
        <v>204.5957895759</v>
      </c>
      <c r="AT20" s="35">
        <v>82.4302597550622</v>
      </c>
      <c r="AU20" s="35">
        <v>78.383720186509</v>
      </c>
      <c r="AV20" s="35">
        <v>76.6916086368361</v>
      </c>
      <c r="AW20" s="35">
        <f>+SUM(AT20:AV20)</f>
        <v>237.50558857840727</v>
      </c>
      <c r="AX20" s="35">
        <v>101.988032374281</v>
      </c>
      <c r="AY20" s="35">
        <v>93.1686298774853</v>
      </c>
      <c r="AZ20" s="35">
        <v>86.1522733736588</v>
      </c>
      <c r="BA20" s="35">
        <f>+SUM(AX20:AZ20)</f>
        <v>281.3089356254251</v>
      </c>
      <c r="BB20" s="35">
        <v>147.715540564584</v>
      </c>
      <c r="BC20" s="35">
        <v>132.8124500009591</v>
      </c>
      <c r="BD20" s="35">
        <v>129.493195993151</v>
      </c>
      <c r="BE20" s="35">
        <f>+SUM(BB20:BD20)</f>
        <v>410.02118655869407</v>
      </c>
      <c r="BF20" s="35">
        <v>129.25024675987</v>
      </c>
      <c r="BG20" s="35">
        <v>145.567427449183</v>
      </c>
      <c r="BH20" s="35">
        <v>96.9016734018605</v>
      </c>
      <c r="BI20" s="35">
        <f>+SUM(BF20:BH20)</f>
        <v>371.7193476109135</v>
      </c>
      <c r="BJ20" s="35">
        <v>114.35371488099997</v>
      </c>
      <c r="BK20" s="35">
        <v>107.160257552092</v>
      </c>
      <c r="BL20" s="35">
        <v>94.2801713155914</v>
      </c>
      <c r="BM20" s="35">
        <f>+SUM(BJ20:BL20)</f>
        <v>315.7941437486834</v>
      </c>
      <c r="BN20" s="35">
        <v>96.5484331320019</v>
      </c>
      <c r="BO20" s="35">
        <v>97.3924155440884</v>
      </c>
      <c r="BP20" s="35">
        <v>113.590887625892</v>
      </c>
      <c r="BQ20" s="35">
        <f>+SUM(BN20:BP20)</f>
        <v>307.5317363019823</v>
      </c>
      <c r="BR20" s="35">
        <v>108.319874392579</v>
      </c>
      <c r="BS20" s="35">
        <v>99.7205340944261</v>
      </c>
      <c r="BT20" s="35">
        <v>74.5076338720399</v>
      </c>
      <c r="BU20" s="35">
        <f>+SUM(BR20:BT20)</f>
        <v>282.548042359045</v>
      </c>
      <c r="BV20" s="35">
        <v>80.4021666612457</v>
      </c>
      <c r="BW20" s="35">
        <v>95.4110368063484</v>
      </c>
      <c r="BX20" s="35">
        <v>90.6872175486242</v>
      </c>
      <c r="BY20" s="35">
        <f>+SUM(BV20:BX20)</f>
        <v>266.5004210162183</v>
      </c>
      <c r="BZ20" s="35">
        <v>92.0505414143551</v>
      </c>
      <c r="CA20" s="35">
        <v>172.778897021121</v>
      </c>
      <c r="CB20" s="35">
        <v>116.669975932086</v>
      </c>
      <c r="CC20" s="35">
        <f>+SUM(BZ20:CB20)</f>
        <v>381.4994143675621</v>
      </c>
      <c r="CD20" s="35">
        <v>153.244585199517</v>
      </c>
      <c r="CE20" s="35">
        <v>154.69127177522</v>
      </c>
      <c r="CF20" s="35">
        <v>166.432439456423</v>
      </c>
      <c r="CG20" s="35">
        <f>+SUM(CD20:CF20)</f>
        <v>474.36829643116005</v>
      </c>
      <c r="CH20" s="35">
        <v>256.590420193073</v>
      </c>
      <c r="CI20" s="35">
        <v>249.08891561766796</v>
      </c>
      <c r="CJ20" s="35">
        <v>245.40410407951595</v>
      </c>
      <c r="CK20" s="35">
        <f>+SUM(CH20:CJ20)</f>
        <v>751.0834398902568</v>
      </c>
      <c r="CL20" s="35">
        <v>196.1585575174278</v>
      </c>
      <c r="CM20" s="35">
        <v>135.591855786348</v>
      </c>
      <c r="CN20" s="35">
        <v>172.0007506958446</v>
      </c>
      <c r="CO20" s="35">
        <f>+SUM(CL20:CN20)</f>
        <v>503.75116399962036</v>
      </c>
      <c r="CP20" s="35">
        <v>161.6406683875973</v>
      </c>
      <c r="CQ20" s="35">
        <v>182.89680081017912</v>
      </c>
      <c r="CR20" s="35">
        <v>157.94619789552988</v>
      </c>
      <c r="CS20" s="35">
        <f>+SUM(CP20:CR20)</f>
        <v>502.4836670933063</v>
      </c>
      <c r="CT20" s="35">
        <v>157.13211212285407</v>
      </c>
      <c r="CU20" s="35">
        <v>145.28887363198038</v>
      </c>
      <c r="CV20" s="35">
        <v>176.11482435747772</v>
      </c>
      <c r="CW20" s="35">
        <f>+SUM(CT20:CV20)</f>
        <v>478.5358101123121</v>
      </c>
      <c r="CX20" s="35">
        <v>133.2737694355637</v>
      </c>
      <c r="CY20" s="35">
        <v>98.65702501044916</v>
      </c>
      <c r="CZ20" s="35">
        <v>134.91881465885692</v>
      </c>
      <c r="DA20" s="35">
        <f>+SUM(CX20:CZ20)</f>
        <v>366.8496091048698</v>
      </c>
      <c r="DB20" s="35">
        <v>156.54981443994043</v>
      </c>
      <c r="DC20" s="35">
        <v>137.00970938988547</v>
      </c>
      <c r="DD20" s="35">
        <v>143.88750149998836</v>
      </c>
      <c r="DE20" s="35">
        <f>+SUM(DB20:DD20)</f>
        <v>437.4470253298143</v>
      </c>
      <c r="DF20" s="35">
        <v>132.80642979116476</v>
      </c>
      <c r="DG20" s="35">
        <v>144.7027448381968</v>
      </c>
      <c r="DH20" s="35">
        <v>108.21885937239699</v>
      </c>
      <c r="DI20" s="35">
        <f>+SUM(DF20:DH20)</f>
        <v>385.72803400175854</v>
      </c>
      <c r="DJ20" s="35">
        <v>128.62715294375352</v>
      </c>
      <c r="DK20" s="35">
        <v>132.1951752164153</v>
      </c>
      <c r="DL20" s="35">
        <v>133.43895292082348</v>
      </c>
      <c r="DM20" s="35">
        <f>+SUM(DJ20:DL20)</f>
        <v>394.26128108099226</v>
      </c>
      <c r="DN20" s="35">
        <v>158.85485934523416</v>
      </c>
      <c r="DO20" s="35">
        <v>150.07700757887216</v>
      </c>
      <c r="DP20" s="35">
        <v>101.3792695558868</v>
      </c>
      <c r="DQ20" s="35">
        <f>+SUM(DN20:DP20)</f>
        <v>410.31113647999314</v>
      </c>
      <c r="DR20" s="35">
        <v>109.03795616041411</v>
      </c>
      <c r="DS20" s="35">
        <v>119.8989608412352</v>
      </c>
      <c r="DT20" s="35">
        <v>149.32949428467026</v>
      </c>
      <c r="DU20" s="35">
        <f>+SUM(DR20:DT20)</f>
        <v>378.26641128631957</v>
      </c>
      <c r="DV20" s="35">
        <v>95.36913507767063</v>
      </c>
      <c r="DW20" s="35">
        <v>142.16070996202416</v>
      </c>
      <c r="DX20" s="35">
        <v>95.5493585468858</v>
      </c>
      <c r="DY20" s="35">
        <f>+SUM(DV20:DX20)</f>
        <v>333.0792035865806</v>
      </c>
      <c r="DZ20" s="35">
        <v>102.3655989972511</v>
      </c>
      <c r="EA20" s="35">
        <v>113.94537613999283</v>
      </c>
      <c r="EB20" s="35">
        <v>98.13822095901016</v>
      </c>
      <c r="EC20" s="35">
        <f>+SUM(DZ20:EB20)</f>
        <v>314.44919609625407</v>
      </c>
      <c r="ED20" s="35">
        <v>95.00278526885525</v>
      </c>
      <c r="EE20" s="35">
        <v>65.19560518344863</v>
      </c>
      <c r="EF20" s="35">
        <v>86.18792827462065</v>
      </c>
      <c r="EG20" s="35">
        <f>+SUM(ED20:EF20)</f>
        <v>246.38631872692454</v>
      </c>
      <c r="EH20" s="35">
        <v>104.08441656680849</v>
      </c>
      <c r="EI20" s="35">
        <v>51.931249</v>
      </c>
      <c r="EJ20" s="35">
        <v>63.339726</v>
      </c>
      <c r="EK20" s="35">
        <f>+SUM(EH20:EJ20)</f>
        <v>219.35539156680846</v>
      </c>
      <c r="EL20" s="35">
        <v>43.706464081720775</v>
      </c>
      <c r="EM20" s="35">
        <v>67.46574030585205</v>
      </c>
      <c r="EN20" s="35">
        <v>74.3017085213946</v>
      </c>
      <c r="EO20" s="35">
        <f>+SUM(EL20:EN20)</f>
        <v>185.47391290896743</v>
      </c>
      <c r="EP20" s="35">
        <v>27.353156873774413</v>
      </c>
      <c r="EQ20" s="35">
        <v>-32.09584389272892</v>
      </c>
      <c r="ER20" s="35">
        <v>-46.12233052249509</v>
      </c>
      <c r="ES20" s="35">
        <f>+SUM(EP20:ER20)</f>
        <v>-50.8650175414496</v>
      </c>
      <c r="ET20" s="35">
        <v>42.1201092834181</v>
      </c>
      <c r="EU20" s="35">
        <v>32.6458533831222</v>
      </c>
      <c r="EV20" s="35">
        <v>-8.276817607079506</v>
      </c>
      <c r="EW20" s="35">
        <f>+SUM(ET20:EV20)</f>
        <v>66.4891450594608</v>
      </c>
      <c r="EX20" s="35">
        <v>-39.90186156035589</v>
      </c>
      <c r="EY20" s="35">
        <v>-33.047786700156465</v>
      </c>
      <c r="EZ20" s="35">
        <v>-45.645173069191635</v>
      </c>
      <c r="FA20" s="35">
        <f>+SUM(EX20:EZ20)</f>
        <v>-118.59482132970399</v>
      </c>
      <c r="FB20" s="35">
        <v>-35.87717583623696</v>
      </c>
      <c r="FC20" s="35">
        <v>-20.745620059671708</v>
      </c>
      <c r="FD20" s="35">
        <v>97.88571791905649</v>
      </c>
      <c r="FE20" s="35">
        <f>+SUM(FB20:FD20)</f>
        <v>41.26292202314782</v>
      </c>
      <c r="FF20" s="35">
        <v>60.04263878698262</v>
      </c>
      <c r="FG20" s="35">
        <v>86.68538300149274</v>
      </c>
      <c r="FH20" s="35">
        <v>48.11056866024894</v>
      </c>
      <c r="FI20" s="35">
        <f>+SUM(FF20:FH20)</f>
        <v>194.8385904487243</v>
      </c>
      <c r="FJ20" s="35">
        <v>14.216057503928308</v>
      </c>
      <c r="FK20" s="35"/>
      <c r="FL20" s="35"/>
      <c r="FM20" s="35">
        <f>+SUM(FJ20:FL20)</f>
        <v>14.216057503928308</v>
      </c>
      <c r="FN20" s="35"/>
      <c r="FO20" s="35"/>
      <c r="FP20" s="35"/>
      <c r="FQ20" s="35">
        <f>+SUM(FN20:FP20)</f>
        <v>0</v>
      </c>
      <c r="FR20" s="35"/>
      <c r="FS20" s="35"/>
      <c r="FT20" s="35"/>
      <c r="FU20" s="35">
        <f>+SUM(FR20:FT20)</f>
        <v>0</v>
      </c>
      <c r="FV20" s="35"/>
      <c r="FW20" s="35"/>
      <c r="FX20" s="35"/>
      <c r="FY20" s="35">
        <f>+SUM(FV20:FX20)</f>
        <v>0</v>
      </c>
      <c r="FZ20" s="61"/>
      <c r="GA20" s="16">
        <f>+AO20+AS20+AW20+BA20</f>
        <v>889.219971570891</v>
      </c>
      <c r="GB20" s="16">
        <f>+BE20+BI20+BM20+BQ20</f>
        <v>1405.0664142202731</v>
      </c>
      <c r="GC20" s="28">
        <f>+BU20+BY20+CC20+CG20</f>
        <v>1404.9161741739854</v>
      </c>
      <c r="GD20" s="35">
        <f>+CK20+CO20+CS20+CW20</f>
        <v>2235.8540810954955</v>
      </c>
      <c r="GE20" s="35">
        <f>+DA20+DE20+DI20+DM20</f>
        <v>1584.2859495174348</v>
      </c>
      <c r="GF20" s="35">
        <f>+DQ20+DU20+DY20+EC20</f>
        <v>1436.1059474491474</v>
      </c>
      <c r="GG20" s="35">
        <f>+EG20+EK20+EO20+ES20</f>
        <v>600.3506056612509</v>
      </c>
      <c r="GH20" s="35">
        <f>+EW20+FA20+FE20+FI20</f>
        <v>183.99583620162892</v>
      </c>
      <c r="GI20" s="35">
        <f>+FM20+FQ20+FU20+FY20</f>
        <v>14.216057503928308</v>
      </c>
      <c r="GJ20" s="33"/>
      <c r="GK20" s="33"/>
      <c r="GL20" s="33"/>
      <c r="GM20" s="33"/>
      <c r="GN20" s="33"/>
      <c r="GO20" s="33"/>
      <c r="GP20" s="33"/>
      <c r="GQ20" s="33"/>
      <c r="GR20" s="33"/>
      <c r="GS20" s="33"/>
      <c r="GT20" s="33"/>
      <c r="GU20" s="33"/>
      <c r="GV20" s="33"/>
      <c r="GW20" s="33"/>
    </row>
    <row r="21" spans="1:191" s="33" customFormat="1" ht="15" customHeight="1" outlineLevel="1">
      <c r="A21" s="20"/>
      <c r="B21" s="1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4"/>
      <c r="AK21" s="19"/>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68"/>
      <c r="EJ21" s="68"/>
      <c r="EK21" s="35"/>
      <c r="EL21" s="68"/>
      <c r="EM21" s="68"/>
      <c r="EN21" s="68"/>
      <c r="EO21" s="35"/>
      <c r="EP21" s="68"/>
      <c r="EQ21" s="35"/>
      <c r="ER21" s="35"/>
      <c r="ES21" s="35"/>
      <c r="ET21" s="68"/>
      <c r="EU21" s="35"/>
      <c r="EV21" s="35"/>
      <c r="EW21" s="35"/>
      <c r="EX21" s="68"/>
      <c r="EY21" s="35"/>
      <c r="EZ21" s="35"/>
      <c r="FA21" s="35"/>
      <c r="FB21" s="68"/>
      <c r="FC21" s="35"/>
      <c r="FD21" s="35"/>
      <c r="FE21" s="35"/>
      <c r="FF21" s="35"/>
      <c r="FG21" s="35"/>
      <c r="FH21" s="35"/>
      <c r="FI21" s="35"/>
      <c r="FJ21" s="68"/>
      <c r="FK21" s="35"/>
      <c r="FL21" s="35"/>
      <c r="FM21" s="35"/>
      <c r="FN21" s="68"/>
      <c r="FO21" s="35"/>
      <c r="FP21" s="35"/>
      <c r="FQ21" s="35"/>
      <c r="FR21" s="68"/>
      <c r="FS21" s="35"/>
      <c r="FT21" s="35"/>
      <c r="FU21" s="35"/>
      <c r="FV21" s="35"/>
      <c r="FW21" s="35"/>
      <c r="FX21" s="35"/>
      <c r="FY21" s="35"/>
      <c r="FZ21" s="61"/>
      <c r="GA21" s="35"/>
      <c r="GB21" s="35"/>
      <c r="GC21" s="35"/>
      <c r="GD21" s="35"/>
      <c r="GE21" s="35"/>
      <c r="GF21" s="35"/>
      <c r="GG21" s="35"/>
      <c r="GH21" s="35"/>
      <c r="GI21" s="35"/>
    </row>
    <row r="22" spans="1:205" ht="15" customHeight="1">
      <c r="A22" s="20"/>
      <c r="B22" s="36" t="s">
        <v>12</v>
      </c>
      <c r="C22" s="35">
        <f aca="true" t="shared" si="33" ref="C22:R22">+FJ22</f>
        <v>55.8753469889362</v>
      </c>
      <c r="D22" s="35">
        <f t="shared" si="33"/>
        <v>0</v>
      </c>
      <c r="E22" s="35">
        <f t="shared" si="33"/>
        <v>0</v>
      </c>
      <c r="F22" s="35">
        <f t="shared" si="33"/>
        <v>55.8753469889362</v>
      </c>
      <c r="G22" s="35">
        <f t="shared" si="33"/>
        <v>0</v>
      </c>
      <c r="H22" s="35">
        <f t="shared" si="33"/>
        <v>0</v>
      </c>
      <c r="I22" s="35">
        <f t="shared" si="33"/>
        <v>0</v>
      </c>
      <c r="J22" s="35">
        <f t="shared" si="33"/>
        <v>0</v>
      </c>
      <c r="K22" s="35">
        <f t="shared" si="33"/>
        <v>0</v>
      </c>
      <c r="L22" s="35">
        <f t="shared" si="33"/>
        <v>0</v>
      </c>
      <c r="M22" s="35">
        <f t="shared" si="33"/>
        <v>0</v>
      </c>
      <c r="N22" s="35">
        <f t="shared" si="33"/>
        <v>0</v>
      </c>
      <c r="O22" s="35">
        <f t="shared" si="33"/>
        <v>0</v>
      </c>
      <c r="P22" s="35">
        <f t="shared" si="33"/>
        <v>0</v>
      </c>
      <c r="Q22" s="35">
        <f t="shared" si="33"/>
        <v>0</v>
      </c>
      <c r="R22" s="35">
        <f t="shared" si="33"/>
        <v>0</v>
      </c>
      <c r="S22" s="35">
        <f aca="true" t="shared" si="34" ref="S22:AH22">+ET22</f>
        <v>27.19680919163723</v>
      </c>
      <c r="T22" s="35">
        <f t="shared" si="34"/>
        <v>33.82008131318596</v>
      </c>
      <c r="U22" s="35">
        <f t="shared" si="34"/>
        <v>-84.1728766986028</v>
      </c>
      <c r="V22" s="35">
        <f t="shared" si="34"/>
        <v>44.312519532778474</v>
      </c>
      <c r="W22" s="35">
        <f t="shared" si="34"/>
        <v>-10.091367070506461</v>
      </c>
      <c r="X22" s="35">
        <f t="shared" si="34"/>
        <v>-15.048321989707134</v>
      </c>
      <c r="Y22" s="35">
        <f t="shared" si="34"/>
        <v>-8.143112727392214</v>
      </c>
      <c r="Z22" s="35">
        <f t="shared" si="34"/>
        <v>-10.722827882522747</v>
      </c>
      <c r="AA22" s="35">
        <f t="shared" si="34"/>
        <v>-11.536873562132746</v>
      </c>
      <c r="AB22" s="35">
        <f t="shared" si="34"/>
        <v>-36.77229852539399</v>
      </c>
      <c r="AC22" s="35">
        <f t="shared" si="34"/>
        <v>20.271841766176653</v>
      </c>
      <c r="AD22" s="35">
        <f t="shared" si="34"/>
        <v>76.60868899124766</v>
      </c>
      <c r="AE22" s="35">
        <f t="shared" si="34"/>
        <v>23.059432265994097</v>
      </c>
      <c r="AF22" s="35">
        <f t="shared" si="34"/>
        <v>20.530438581506175</v>
      </c>
      <c r="AG22" s="35">
        <f t="shared" si="34"/>
        <v>26.362431454108794</v>
      </c>
      <c r="AH22" s="35">
        <f t="shared" si="34"/>
        <v>22.749854903600237</v>
      </c>
      <c r="AI22" s="75">
        <f>+C22-S22</f>
        <v>28.678537797298972</v>
      </c>
      <c r="AJ22" s="34">
        <f>+(AI22/S22)</f>
        <v>1.0544817075863944</v>
      </c>
      <c r="AK22" s="19"/>
      <c r="AL22" s="75">
        <f aca="true" t="shared" si="35" ref="AL22:CN22">+(AL24/AL20)*100</f>
        <v>15.699293927299118</v>
      </c>
      <c r="AM22" s="75">
        <f t="shared" si="35"/>
        <v>17.12196098658277</v>
      </c>
      <c r="AN22" s="75">
        <f t="shared" si="35"/>
        <v>16.582897790130925</v>
      </c>
      <c r="AO22" s="75">
        <f t="shared" si="35"/>
        <v>16.51733921819294</v>
      </c>
      <c r="AP22" s="75">
        <f t="shared" si="35"/>
        <v>18.487523423227415</v>
      </c>
      <c r="AQ22" s="75">
        <f t="shared" si="35"/>
        <v>17.401138146029183</v>
      </c>
      <c r="AR22" s="75">
        <f t="shared" si="35"/>
        <v>18.870839169737863</v>
      </c>
      <c r="AS22" s="75">
        <f>+(AS24/AS20)*100</f>
        <v>18.27798427172583</v>
      </c>
      <c r="AT22" s="75">
        <f t="shared" si="35"/>
        <v>20.37789729208404</v>
      </c>
      <c r="AU22" s="75">
        <f t="shared" si="35"/>
        <v>18.683981276575203</v>
      </c>
      <c r="AV22" s="75">
        <f t="shared" si="35"/>
        <v>18.953885647266446</v>
      </c>
      <c r="AW22" s="75">
        <f>+(AW24/AW20)*100</f>
        <v>19.359036286807726</v>
      </c>
      <c r="AX22" s="75">
        <f t="shared" si="35"/>
        <v>18.86076180972822</v>
      </c>
      <c r="AY22" s="75">
        <f t="shared" si="35"/>
        <v>17.51173133246704</v>
      </c>
      <c r="AZ22" s="75">
        <f t="shared" si="35"/>
        <v>12.570423656539203</v>
      </c>
      <c r="BA22" s="75">
        <f>+(BA24/BA20)*100</f>
        <v>16.487519552309685</v>
      </c>
      <c r="BB22" s="75">
        <f t="shared" si="35"/>
        <v>14.473971633228908</v>
      </c>
      <c r="BC22" s="75">
        <f t="shared" si="35"/>
        <v>14.521689506611967</v>
      </c>
      <c r="BD22" s="75">
        <f t="shared" si="35"/>
        <v>13.711580808297505</v>
      </c>
      <c r="BE22" s="75">
        <f>+(BE24/BE20)*100</f>
        <v>14.248649381911152</v>
      </c>
      <c r="BF22" s="75">
        <f t="shared" si="35"/>
        <v>14.021942849584265</v>
      </c>
      <c r="BG22" s="75">
        <f t="shared" si="35"/>
        <v>14.602705541484553</v>
      </c>
      <c r="BH22" s="75">
        <f t="shared" si="35"/>
        <v>16.371935014958673</v>
      </c>
      <c r="BI22" s="75">
        <f>+(BI24/BI20)*100</f>
        <v>14.861980653188924</v>
      </c>
      <c r="BJ22" s="75">
        <f t="shared" si="35"/>
        <v>15.661158765613747</v>
      </c>
      <c r="BK22" s="75">
        <f t="shared" si="35"/>
        <v>14.55531768213161</v>
      </c>
      <c r="BL22" s="75">
        <f t="shared" si="35"/>
        <v>13.849861146535286</v>
      </c>
      <c r="BM22" s="75">
        <f>+(BM24/BM20)*100</f>
        <v>14.745145372477236</v>
      </c>
      <c r="BN22" s="75">
        <f t="shared" si="35"/>
        <v>14.011111731135664</v>
      </c>
      <c r="BO22" s="75">
        <f t="shared" si="35"/>
        <v>12.344549326282094</v>
      </c>
      <c r="BP22" s="75">
        <f t="shared" si="35"/>
        <v>10.596865039117978</v>
      </c>
      <c r="BQ22" s="75">
        <f>+(BQ24/BQ20)*100</f>
        <v>12.222230176343874</v>
      </c>
      <c r="BR22" s="75">
        <f t="shared" si="35"/>
        <v>9.391432197383196</v>
      </c>
      <c r="BS22" s="75">
        <f t="shared" si="35"/>
        <v>10.885768755670867</v>
      </c>
      <c r="BT22" s="75">
        <f t="shared" si="35"/>
        <v>12.344580274843556</v>
      </c>
      <c r="BU22" s="75">
        <f>+(BU24/BU20)*100</f>
        <v>10.697575083220801</v>
      </c>
      <c r="BV22" s="75">
        <f t="shared" si="35"/>
        <v>12.713102923525785</v>
      </c>
      <c r="BW22" s="75">
        <f t="shared" si="35"/>
        <v>11.818809522631504</v>
      </c>
      <c r="BX22" s="75">
        <f t="shared" si="35"/>
        <v>13.1663773588929</v>
      </c>
      <c r="BY22" s="75">
        <f>+(BY24/BY20)*100</f>
        <v>12.54717724472042</v>
      </c>
      <c r="BZ22" s="75">
        <f t="shared" si="35"/>
        <v>14.467177564023013</v>
      </c>
      <c r="CA22" s="75">
        <f t="shared" si="35"/>
        <v>11.48575925782011</v>
      </c>
      <c r="CB22" s="75">
        <f t="shared" si="35"/>
        <v>13.675297399891075</v>
      </c>
      <c r="CC22" s="75">
        <f>+(CC24/CC20)*100</f>
        <v>12.874737881771326</v>
      </c>
      <c r="CD22" s="75">
        <f t="shared" si="35"/>
        <v>11.826179225462413</v>
      </c>
      <c r="CE22" s="75">
        <f t="shared" si="35"/>
        <v>11.225442870421508</v>
      </c>
      <c r="CF22" s="75">
        <f t="shared" si="35"/>
        <v>10.833225467976773</v>
      </c>
      <c r="CG22" s="75">
        <f>+(CG24/CG20)*100</f>
        <v>11.281900889766105</v>
      </c>
      <c r="CH22" s="75">
        <f t="shared" si="35"/>
        <v>12.503717011008275</v>
      </c>
      <c r="CI22" s="75">
        <f t="shared" si="35"/>
        <v>13.236437266827863</v>
      </c>
      <c r="CJ22" s="75">
        <f t="shared" si="35"/>
        <v>12.561115799994127</v>
      </c>
      <c r="CK22" s="75">
        <f>+(CK24/CK20)*100</f>
        <v>12.765470075871812</v>
      </c>
      <c r="CL22" s="75">
        <f t="shared" si="35"/>
        <v>12.003251908756354</v>
      </c>
      <c r="CM22" s="75">
        <f t="shared" si="35"/>
        <v>12.39503568871315</v>
      </c>
      <c r="CN22" s="75">
        <f t="shared" si="35"/>
        <v>12.227905294862804</v>
      </c>
      <c r="CO22" s="75">
        <f>+(CO24/CO20)*100</f>
        <v>12.185411767444194</v>
      </c>
      <c r="CP22" s="75">
        <f aca="true" t="shared" si="36" ref="CP22:CW22">+(CP24/CP20)*100</f>
        <v>12.371682169340371</v>
      </c>
      <c r="CQ22" s="75">
        <f t="shared" si="36"/>
        <v>11.937634907009553</v>
      </c>
      <c r="CR22" s="75">
        <f t="shared" si="36"/>
        <v>12.304926979301403</v>
      </c>
      <c r="CS22" s="75">
        <f t="shared" si="36"/>
        <v>12.192712005678368</v>
      </c>
      <c r="CT22" s="75">
        <f t="shared" si="36"/>
        <v>12.819570002972075</v>
      </c>
      <c r="CU22" s="75">
        <f t="shared" si="36"/>
        <v>13.238677735565854</v>
      </c>
      <c r="CV22" s="75">
        <f t="shared" si="36"/>
        <v>13.220514039460571</v>
      </c>
      <c r="CW22" s="75">
        <f t="shared" si="36"/>
        <v>13.094374680455855</v>
      </c>
      <c r="CX22" s="75">
        <f aca="true" t="shared" si="37" ref="CX22:DF22">+(CX24/CX20)*100</f>
        <v>13.074320484092478</v>
      </c>
      <c r="CY22" s="75">
        <f t="shared" si="37"/>
        <v>13.435136080108068</v>
      </c>
      <c r="CZ22" s="75">
        <f t="shared" si="37"/>
        <v>14.134308674572734</v>
      </c>
      <c r="DA22" s="75">
        <f t="shared" si="37"/>
        <v>13.561193957743079</v>
      </c>
      <c r="DB22" s="75">
        <f t="shared" si="37"/>
        <v>13.907997158866717</v>
      </c>
      <c r="DC22" s="75">
        <f t="shared" si="37"/>
        <v>15.662943776466959</v>
      </c>
      <c r="DD22" s="75">
        <f t="shared" si="37"/>
        <v>16.966682954673136</v>
      </c>
      <c r="DE22" s="75">
        <f t="shared" si="37"/>
        <v>15.463731553428337</v>
      </c>
      <c r="DF22" s="75">
        <f t="shared" si="37"/>
        <v>17.03133213571869</v>
      </c>
      <c r="DG22" s="75">
        <f aca="true" t="shared" si="38" ref="DG22:DP22">+(DG24/DG20)*100</f>
        <v>16.39457258108026</v>
      </c>
      <c r="DH22" s="75">
        <f t="shared" si="38"/>
        <v>19.05314054225743</v>
      </c>
      <c r="DI22" s="75">
        <f t="shared" si="38"/>
        <v>17.35969028732361</v>
      </c>
      <c r="DJ22" s="75">
        <f t="shared" si="38"/>
        <v>17.617990124632364</v>
      </c>
      <c r="DK22" s="75">
        <f t="shared" si="38"/>
        <v>19.067723745914584</v>
      </c>
      <c r="DL22" s="75">
        <f t="shared" si="38"/>
        <v>16.068749296585345</v>
      </c>
      <c r="DM22" s="75">
        <f t="shared" si="38"/>
        <v>17.57973812130883</v>
      </c>
      <c r="DN22" s="75">
        <f t="shared" si="38"/>
        <v>14.231520499267985</v>
      </c>
      <c r="DO22" s="75">
        <f t="shared" si="38"/>
        <v>13.858294797783227</v>
      </c>
      <c r="DP22" s="75">
        <f t="shared" si="38"/>
        <v>18.007127468387562</v>
      </c>
      <c r="DQ22" s="75">
        <f aca="true" t="shared" si="39" ref="DQ22:DV22">+(DQ24/DQ20)*100</f>
        <v>15.027881239150151</v>
      </c>
      <c r="DR22" s="75">
        <f t="shared" si="39"/>
        <v>18.416645633119938</v>
      </c>
      <c r="DS22" s="75">
        <f t="shared" si="39"/>
        <v>18.343209322883556</v>
      </c>
      <c r="DT22" s="75">
        <f t="shared" si="39"/>
        <v>17.626806962899604</v>
      </c>
      <c r="DU22" s="75">
        <f t="shared" si="39"/>
        <v>18.08156130447228</v>
      </c>
      <c r="DV22" s="75">
        <f t="shared" si="39"/>
        <v>22.804345826467205</v>
      </c>
      <c r="DW22" s="75">
        <f aca="true" t="shared" si="40" ref="DW22:EG22">+(DW24/DW20)*100</f>
        <v>16.531019775795684</v>
      </c>
      <c r="DX22" s="75">
        <f t="shared" si="40"/>
        <v>17.56229370958757</v>
      </c>
      <c r="DY22" s="75">
        <f t="shared" si="40"/>
        <v>18.623072461371322</v>
      </c>
      <c r="DZ22" s="75">
        <f t="shared" si="40"/>
        <v>16.201866332734376</v>
      </c>
      <c r="EA22" s="75">
        <f t="shared" si="40"/>
        <v>15.095473775538345</v>
      </c>
      <c r="EB22" s="75">
        <f t="shared" si="40"/>
        <v>13.374336926330809</v>
      </c>
      <c r="EC22" s="75">
        <f t="shared" si="40"/>
        <v>14.918488837253705</v>
      </c>
      <c r="ED22" s="75">
        <f t="shared" si="40"/>
        <v>14.798790668116487</v>
      </c>
      <c r="EE22" s="75">
        <f>+(EE24/EE20)*100</f>
        <v>18.687789800038075</v>
      </c>
      <c r="EF22" s="75">
        <f>+(EF24/EF20)*100</f>
        <v>15.349780895669143</v>
      </c>
      <c r="EG22" s="75">
        <f t="shared" si="40"/>
        <v>16.020588857769635</v>
      </c>
      <c r="EH22" s="75">
        <f aca="true" t="shared" si="41" ref="EH22:EM22">+(EH24/EH20)*100</f>
        <v>13.17505359942674</v>
      </c>
      <c r="EI22" s="75">
        <f t="shared" si="41"/>
        <v>15.576172036097082</v>
      </c>
      <c r="EJ22" s="75">
        <f t="shared" si="41"/>
        <v>16.212727572058952</v>
      </c>
      <c r="EK22" s="75">
        <f t="shared" si="41"/>
        <v>14.620646134226584</v>
      </c>
      <c r="EL22" s="75">
        <f t="shared" si="41"/>
        <v>23.063318475790172</v>
      </c>
      <c r="EM22" s="75">
        <f t="shared" si="41"/>
        <v>19.134994648943515</v>
      </c>
      <c r="EN22" s="75">
        <f aca="true" t="shared" si="42" ref="EN22:ES22">+(EN24/EN20)*100</f>
        <v>19.115146269273247</v>
      </c>
      <c r="EO22" s="75">
        <f t="shared" si="42"/>
        <v>20.052742989121704</v>
      </c>
      <c r="EP22" s="75">
        <f t="shared" si="42"/>
        <v>31.288124133547115</v>
      </c>
      <c r="EQ22" s="75">
        <f t="shared" si="42"/>
        <v>-16.88328891569735</v>
      </c>
      <c r="ER22" s="75">
        <f t="shared" si="42"/>
        <v>-8.277593850576546</v>
      </c>
      <c r="ES22" s="75">
        <f t="shared" si="42"/>
        <v>-34.98463931919947</v>
      </c>
      <c r="ET22" s="75">
        <f aca="true" t="shared" si="43" ref="ET22:EZ22">+(ET24/ET20)*100</f>
        <v>27.19680919163723</v>
      </c>
      <c r="EU22" s="75">
        <f t="shared" si="43"/>
        <v>33.82008131318596</v>
      </c>
      <c r="EV22" s="75">
        <f t="shared" si="43"/>
        <v>-84.1728766986028</v>
      </c>
      <c r="EW22" s="75">
        <f t="shared" si="43"/>
        <v>44.312519532778474</v>
      </c>
      <c r="EX22" s="75">
        <f t="shared" si="43"/>
        <v>-10.091367070506461</v>
      </c>
      <c r="EY22" s="75">
        <f t="shared" si="43"/>
        <v>-15.048321989707134</v>
      </c>
      <c r="EZ22" s="75">
        <f t="shared" si="43"/>
        <v>-8.143112727392214</v>
      </c>
      <c r="FA22" s="75">
        <f aca="true" t="shared" si="44" ref="FA22:FJ22">+_xlfn.IFERROR((FA24/FA20)*100,0)</f>
        <v>-10.722827882522747</v>
      </c>
      <c r="FB22" s="75">
        <f t="shared" si="44"/>
        <v>-11.536873562132746</v>
      </c>
      <c r="FC22" s="75">
        <f t="shared" si="44"/>
        <v>-36.77229852539399</v>
      </c>
      <c r="FD22" s="75">
        <f t="shared" si="44"/>
        <v>20.271841766176653</v>
      </c>
      <c r="FE22" s="75">
        <f t="shared" si="44"/>
        <v>76.60868899124766</v>
      </c>
      <c r="FF22" s="35">
        <f t="shared" si="44"/>
        <v>23.059432265994097</v>
      </c>
      <c r="FG22" s="35">
        <f t="shared" si="44"/>
        <v>20.530438581506175</v>
      </c>
      <c r="FH22" s="35">
        <f t="shared" si="44"/>
        <v>26.362431454108794</v>
      </c>
      <c r="FI22" s="75">
        <f>+_xlfn.IFERROR((FI24/FI20)*100,0)</f>
        <v>22.749854903600237</v>
      </c>
      <c r="FJ22" s="35">
        <f t="shared" si="44"/>
        <v>55.8753469889362</v>
      </c>
      <c r="FK22" s="35"/>
      <c r="FL22" s="75"/>
      <c r="FM22" s="75">
        <f>+(FM24/FM20)*100</f>
        <v>55.8753469889362</v>
      </c>
      <c r="FN22" s="75"/>
      <c r="FO22" s="75"/>
      <c r="FP22" s="75"/>
      <c r="FQ22" s="75">
        <f>+_xlfn.IFERROR((FQ24/FQ20)*100,0)</f>
        <v>0</v>
      </c>
      <c r="FR22" s="75"/>
      <c r="FS22" s="75"/>
      <c r="FT22" s="75"/>
      <c r="FU22" s="75">
        <f>+_xlfn.IFERROR((FU24/FU20)*100,0)</f>
        <v>0</v>
      </c>
      <c r="FV22" s="35"/>
      <c r="FW22" s="35"/>
      <c r="FX22" s="35"/>
      <c r="FY22" s="75">
        <f>+_xlfn.IFERROR((FY24/FY20)*100,0)</f>
        <v>0</v>
      </c>
      <c r="FZ22" s="61"/>
      <c r="GA22" s="17">
        <f aca="true" t="shared" si="45" ref="GA22:GF22">+(GA24/GA20)*100</f>
        <v>17.67200397392169</v>
      </c>
      <c r="GB22" s="17">
        <f t="shared" si="45"/>
        <v>14.078970149593959</v>
      </c>
      <c r="GC22" s="27">
        <f t="shared" si="45"/>
        <v>11.836925426122793</v>
      </c>
      <c r="GD22" s="27">
        <f t="shared" si="45"/>
        <v>12.576453272094176</v>
      </c>
      <c r="GE22" s="27">
        <f t="shared" si="45"/>
        <v>16.011384407499325</v>
      </c>
      <c r="GF22" s="27">
        <f t="shared" si="45"/>
        <v>16.642100357069083</v>
      </c>
      <c r="GG22" s="27">
        <f>+(GG24/GG20)*100</f>
        <v>21.07622837442201</v>
      </c>
      <c r="GH22" s="27">
        <f>+(GH24/GH20)*100</f>
        <v>64.19504735732376</v>
      </c>
      <c r="GI22" s="75">
        <f>+(GI24/GI20)*100</f>
        <v>55.8753469889362</v>
      </c>
      <c r="GJ22" s="33"/>
      <c r="GK22" s="33"/>
      <c r="GL22" s="33"/>
      <c r="GM22" s="33"/>
      <c r="GN22" s="33"/>
      <c r="GO22" s="33"/>
      <c r="GP22" s="33"/>
      <c r="GQ22" s="33"/>
      <c r="GR22" s="33"/>
      <c r="GS22" s="33"/>
      <c r="GT22" s="33"/>
      <c r="GU22" s="33"/>
      <c r="GV22" s="33"/>
      <c r="GW22" s="33"/>
    </row>
    <row r="23" spans="1:205" s="32" customFormat="1" ht="15" customHeight="1" outlineLevel="1">
      <c r="A23" s="20"/>
      <c r="B23" s="1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35"/>
      <c r="AJ23" s="34"/>
      <c r="AK23" s="19"/>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61"/>
      <c r="GA23" s="27"/>
      <c r="GB23" s="27"/>
      <c r="GC23" s="27"/>
      <c r="GD23" s="27"/>
      <c r="GE23" s="27"/>
      <c r="GF23" s="27"/>
      <c r="GG23" s="27"/>
      <c r="GH23" s="27"/>
      <c r="GI23" s="75"/>
      <c r="GJ23" s="33"/>
      <c r="GK23" s="33"/>
      <c r="GL23" s="33"/>
      <c r="GM23" s="33"/>
      <c r="GN23" s="33"/>
      <c r="GO23" s="33"/>
      <c r="GP23" s="33"/>
      <c r="GQ23" s="33"/>
      <c r="GR23" s="33"/>
      <c r="GS23" s="33"/>
      <c r="GT23" s="33"/>
      <c r="GU23" s="33"/>
      <c r="GV23" s="33"/>
      <c r="GW23" s="33"/>
    </row>
    <row r="24" spans="1:205" ht="15" customHeight="1">
      <c r="A24" s="20"/>
      <c r="B24" s="36" t="s">
        <v>13</v>
      </c>
      <c r="C24" s="35">
        <f aca="true" t="shared" si="46" ref="C24:R24">+FJ24</f>
        <v>7.943271458466645</v>
      </c>
      <c r="D24" s="35">
        <f t="shared" si="46"/>
        <v>0</v>
      </c>
      <c r="E24" s="35">
        <f t="shared" si="46"/>
        <v>0</v>
      </c>
      <c r="F24" s="35">
        <f t="shared" si="46"/>
        <v>7.943271458466645</v>
      </c>
      <c r="G24" s="35">
        <f t="shared" si="46"/>
        <v>0</v>
      </c>
      <c r="H24" s="35">
        <f t="shared" si="46"/>
        <v>0</v>
      </c>
      <c r="I24" s="35">
        <f t="shared" si="46"/>
        <v>0</v>
      </c>
      <c r="J24" s="35">
        <f t="shared" si="46"/>
        <v>0</v>
      </c>
      <c r="K24" s="35">
        <f t="shared" si="46"/>
        <v>0</v>
      </c>
      <c r="L24" s="35">
        <f t="shared" si="46"/>
        <v>0</v>
      </c>
      <c r="M24" s="35">
        <f t="shared" si="46"/>
        <v>0</v>
      </c>
      <c r="N24" s="35">
        <f t="shared" si="46"/>
        <v>0</v>
      </c>
      <c r="O24" s="35">
        <f t="shared" si="46"/>
        <v>0</v>
      </c>
      <c r="P24" s="35">
        <f t="shared" si="46"/>
        <v>0</v>
      </c>
      <c r="Q24" s="35">
        <f t="shared" si="46"/>
        <v>0</v>
      </c>
      <c r="R24" s="35">
        <f t="shared" si="46"/>
        <v>0</v>
      </c>
      <c r="S24" s="35">
        <f aca="true" t="shared" si="47" ref="S24:AH24">+ET24</f>
        <v>11.4553257531203</v>
      </c>
      <c r="T24" s="35">
        <f t="shared" si="47"/>
        <v>11.0408541595554</v>
      </c>
      <c r="U24" s="35">
        <f t="shared" si="47"/>
        <v>6.9668354789752795</v>
      </c>
      <c r="V24" s="35">
        <f t="shared" si="47"/>
        <v>29.46301539165098</v>
      </c>
      <c r="W24" s="35">
        <f t="shared" si="47"/>
        <v>4.02664331802083</v>
      </c>
      <c r="X24" s="35">
        <f t="shared" si="47"/>
        <v>4.973137353111155</v>
      </c>
      <c r="Y24" s="35">
        <f t="shared" si="47"/>
        <v>3.7169378976375476</v>
      </c>
      <c r="Z24" s="35">
        <f>+FA24</f>
        <v>12.716718568769533</v>
      </c>
      <c r="AA24" s="35">
        <f t="shared" si="47"/>
        <v>4.139104413890699</v>
      </c>
      <c r="AB24" s="35">
        <f t="shared" si="47"/>
        <v>7.6286413392865</v>
      </c>
      <c r="AC24" s="35">
        <f t="shared" si="47"/>
        <v>19.843237848237155</v>
      </c>
      <c r="AD24" s="35">
        <f t="shared" si="47"/>
        <v>31.610983601414354</v>
      </c>
      <c r="AE24" s="35">
        <f t="shared" si="47"/>
        <v>13.845491621799756</v>
      </c>
      <c r="AF24" s="35">
        <f t="shared" si="47"/>
        <v>17.79688931626486</v>
      </c>
      <c r="AG24" s="35">
        <f t="shared" si="47"/>
        <v>12.683115685240073</v>
      </c>
      <c r="AH24" s="35">
        <f t="shared" si="47"/>
        <v>44.32549662330469</v>
      </c>
      <c r="AI24" s="35">
        <f>+C24-S24</f>
        <v>-3.5120542946536553</v>
      </c>
      <c r="AJ24" s="34">
        <f>+(AI24/S24)</f>
        <v>-0.3065870295043344</v>
      </c>
      <c r="AK24" s="19"/>
      <c r="AL24" s="35">
        <v>7.10417654675273</v>
      </c>
      <c r="AM24" s="35">
        <v>9.24738436202218</v>
      </c>
      <c r="AN24" s="35">
        <v>11.035782725115638</v>
      </c>
      <c r="AO24" s="35">
        <f>+SUM(AL24:AN24)</f>
        <v>27.38734363389055</v>
      </c>
      <c r="AP24" s="35">
        <v>12.805106849927723</v>
      </c>
      <c r="AQ24" s="35">
        <v>11.21782687592442</v>
      </c>
      <c r="AR24" s="35">
        <v>13.37305251344414</v>
      </c>
      <c r="AS24" s="35">
        <f>+SUM(AP24:AR24)</f>
        <v>37.39598623929628</v>
      </c>
      <c r="AT24" s="35">
        <v>16.79755367048466</v>
      </c>
      <c r="AU24" s="35">
        <v>14.64519960353044</v>
      </c>
      <c r="AV24" s="35">
        <v>14.536039802075031</v>
      </c>
      <c r="AW24" s="35">
        <f>+SUM(AT24:AV24)</f>
        <v>45.97879307609013</v>
      </c>
      <c r="AX24" s="35">
        <v>19.235719860541646</v>
      </c>
      <c r="AY24" s="35">
        <v>16.31544015028584</v>
      </c>
      <c r="AZ24" s="35">
        <v>10.829705752808731</v>
      </c>
      <c r="BA24" s="35">
        <f>+SUM(AX24:AZ24)</f>
        <v>46.38086576363622</v>
      </c>
      <c r="BB24" s="35">
        <v>21.38030543918863</v>
      </c>
      <c r="BC24" s="35">
        <v>19.286611615263546</v>
      </c>
      <c r="BD24" s="35">
        <v>17.755564209847968</v>
      </c>
      <c r="BE24" s="35">
        <f>+SUM(BB24:BD24)</f>
        <v>58.42248126430014</v>
      </c>
      <c r="BF24" s="35">
        <v>18.12339573361561</v>
      </c>
      <c r="BG24" s="35">
        <v>21.25678279471835</v>
      </c>
      <c r="BH24" s="35">
        <v>15.864678997760096</v>
      </c>
      <c r="BI24" s="35">
        <f>+SUM(BF24:BH24)</f>
        <v>55.24485752609405</v>
      </c>
      <c r="BJ24" s="35">
        <v>17.90911684189068</v>
      </c>
      <c r="BK24" s="35">
        <v>15.597515915697421</v>
      </c>
      <c r="BL24" s="35">
        <v>13.057672815925</v>
      </c>
      <c r="BM24" s="35">
        <f>+SUM(BJ24:BL24)</f>
        <v>46.5643055735131</v>
      </c>
      <c r="BN24" s="35">
        <v>13.527508840785591</v>
      </c>
      <c r="BO24" s="35">
        <v>12.022654776897621</v>
      </c>
      <c r="BP24" s="35">
        <v>12.037073058451938</v>
      </c>
      <c r="BQ24" s="35">
        <f>+SUM(BN24:BP24)</f>
        <v>37.58723667613515</v>
      </c>
      <c r="BR24" s="35">
        <v>10.1727875598697</v>
      </c>
      <c r="BS24" s="35">
        <v>10.855346743439151</v>
      </c>
      <c r="BT24" s="35">
        <v>9.197654674220495</v>
      </c>
      <c r="BU24" s="35">
        <f>+SUM(BR24:BT24)</f>
        <v>30.225788977529348</v>
      </c>
      <c r="BV24" s="35">
        <v>10.2216102003889</v>
      </c>
      <c r="BW24" s="35">
        <v>11.276448703710155</v>
      </c>
      <c r="BX24" s="35">
        <v>11.940221278732006</v>
      </c>
      <c r="BY24" s="35">
        <f>+SUM(BV24:BX24)</f>
        <v>33.43828018283106</v>
      </c>
      <c r="BZ24" s="35">
        <v>13.31711527505929</v>
      </c>
      <c r="CA24" s="35">
        <v>19.84496816016288</v>
      </c>
      <c r="CB24" s="35">
        <v>15.9549661850941</v>
      </c>
      <c r="CC24" s="35">
        <f>+SUM(BZ24:CB24)</f>
        <v>49.11704962031627</v>
      </c>
      <c r="CD24" s="35">
        <v>18.122979299011327</v>
      </c>
      <c r="CE24" s="35">
        <v>17.36478033865579</v>
      </c>
      <c r="CF24" s="35">
        <v>18.03000141816824</v>
      </c>
      <c r="CG24" s="35">
        <f>+SUM(CD24:CF24)</f>
        <v>53.51776105583536</v>
      </c>
      <c r="CH24" s="35">
        <v>32.08334001829888</v>
      </c>
      <c r="CI24" s="35">
        <v>32.970498054354415</v>
      </c>
      <c r="CJ24" s="35">
        <v>30.82549369136611</v>
      </c>
      <c r="CK24" s="35">
        <f>+SUM(CH24:CJ24)</f>
        <v>95.8793317640194</v>
      </c>
      <c r="CL24" s="35">
        <v>23.545405799399582</v>
      </c>
      <c r="CM24" s="35">
        <v>16.8066589157063</v>
      </c>
      <c r="CN24" s="35">
        <v>21.032088901540952</v>
      </c>
      <c r="CO24" s="35">
        <f>+SUM(CL24:CN24)</f>
        <v>61.384153616646834</v>
      </c>
      <c r="CP24" s="35">
        <v>19.997669749310973</v>
      </c>
      <c r="CQ24" s="35">
        <v>21.833552337319674</v>
      </c>
      <c r="CR24" s="35">
        <v>19.43516431762784</v>
      </c>
      <c r="CS24" s="35">
        <f>+SUM(CP24:CR24)</f>
        <v>61.26638640425848</v>
      </c>
      <c r="CT24" s="35">
        <v>20.14366111073785</v>
      </c>
      <c r="CU24" s="35">
        <v>19.234325765771395</v>
      </c>
      <c r="CV24" s="35">
        <v>23.283285079751668</v>
      </c>
      <c r="CW24" s="35">
        <f>+SUM(CT24:CV24)</f>
        <v>62.661271956260904</v>
      </c>
      <c r="CX24" s="35">
        <v>17.424639737236085</v>
      </c>
      <c r="CY24" s="35">
        <v>13.254705562740096</v>
      </c>
      <c r="CZ24" s="35">
        <v>19.069841723957524</v>
      </c>
      <c r="DA24" s="35">
        <f>+SUM(CX24:CZ24)</f>
        <v>49.7491870239337</v>
      </c>
      <c r="DB24" s="35">
        <v>21.77294374451803</v>
      </c>
      <c r="DC24" s="35">
        <v>21.459753750038534</v>
      </c>
      <c r="DD24" s="35">
        <v>24.412936190903576</v>
      </c>
      <c r="DE24" s="35">
        <f>+SUM(DB24:DD24)</f>
        <v>67.64563368546014</v>
      </c>
      <c r="DF24" s="35">
        <v>22.61870415532332</v>
      </c>
      <c r="DG24" s="35">
        <v>23.723396529313543</v>
      </c>
      <c r="DH24" s="35">
        <v>20.61909136945073</v>
      </c>
      <c r="DI24" s="35">
        <f>+SUM(DF24:DH24)</f>
        <v>66.96119205408759</v>
      </c>
      <c r="DJ24" s="35">
        <v>22.661519103226265</v>
      </c>
      <c r="DK24" s="35">
        <v>25.20661081569381</v>
      </c>
      <c r="DL24" s="35">
        <v>21.441970808835677</v>
      </c>
      <c r="DM24" s="35">
        <f>+SUM(DJ24:DL24)</f>
        <v>69.31010072775575</v>
      </c>
      <c r="DN24" s="35">
        <v>22.607461871800325</v>
      </c>
      <c r="DO24" s="35">
        <v>20.79811413397158</v>
      </c>
      <c r="DP24" s="35">
        <v>18.25549429544876</v>
      </c>
      <c r="DQ24" s="35">
        <f>+SUM(DN24:DP24)</f>
        <v>61.66107030122066</v>
      </c>
      <c r="DR24" s="35">
        <v>20.08113399166014</v>
      </c>
      <c r="DS24" s="35">
        <v>21.993317363069956</v>
      </c>
      <c r="DT24" s="35">
        <v>26.322021696233026</v>
      </c>
      <c r="DU24" s="35">
        <f>+SUM(DR24:DT24)</f>
        <v>68.39647305096312</v>
      </c>
      <c r="DV24" s="35">
        <v>21.748307374822655</v>
      </c>
      <c r="DW24" s="35">
        <v>23.500615077233757</v>
      </c>
      <c r="DX24" s="35">
        <v>16.780658985631</v>
      </c>
      <c r="DY24" s="35">
        <f>+SUM(DV24:DX24)</f>
        <v>62.02958143768741</v>
      </c>
      <c r="DZ24" s="35">
        <v>16.585137520237502</v>
      </c>
      <c r="EA24" s="35">
        <v>17.200594373651146</v>
      </c>
      <c r="EB24" s="35">
        <v>13.125336324565017</v>
      </c>
      <c r="EC24" s="35">
        <f>+SUM(DZ24:EB24)</f>
        <v>46.91106821845367</v>
      </c>
      <c r="ED24" s="35">
        <v>14.059263320818097</v>
      </c>
      <c r="EE24" s="35">
        <v>12.183617655545609</v>
      </c>
      <c r="EF24" s="35">
        <v>13.229658148670744</v>
      </c>
      <c r="EG24" s="35">
        <f>+SUM(ED24:EF24)</f>
        <v>39.47253912503445</v>
      </c>
      <c r="EH24" s="35">
        <v>13.713177671327623</v>
      </c>
      <c r="EI24" s="35">
        <v>8.088900684733947</v>
      </c>
      <c r="EJ24" s="35">
        <v>10.269097221268593</v>
      </c>
      <c r="EK24" s="35">
        <f>+SUM(EH24:EJ24)</f>
        <v>32.071175577330166</v>
      </c>
      <c r="EL24" s="35">
        <v>10.080161005674103</v>
      </c>
      <c r="EM24" s="35">
        <v>12.909565797394919</v>
      </c>
      <c r="EN24" s="35">
        <v>14.202880264433642</v>
      </c>
      <c r="EO24" s="35">
        <f>+SUM(EL24:EN24)</f>
        <v>37.192607067502664</v>
      </c>
      <c r="EP24" s="35">
        <v>8.558289677110412</v>
      </c>
      <c r="EQ24" s="35">
        <v>5.4188340543406275</v>
      </c>
      <c r="ER24" s="35">
        <v>3.8178191950726434</v>
      </c>
      <c r="ES24" s="35">
        <f>+SUM(EP24:ER24)</f>
        <v>17.794942926523685</v>
      </c>
      <c r="ET24" s="35">
        <v>11.4553257531203</v>
      </c>
      <c r="EU24" s="35">
        <v>11.0408541595554</v>
      </c>
      <c r="EV24" s="35">
        <v>6.9668354789752795</v>
      </c>
      <c r="EW24" s="35">
        <f>+SUM(ET24:EV24)</f>
        <v>29.46301539165098</v>
      </c>
      <c r="EX24" s="35">
        <v>4.02664331802083</v>
      </c>
      <c r="EY24" s="35">
        <v>4.973137353111155</v>
      </c>
      <c r="EZ24" s="35">
        <v>3.7169378976375476</v>
      </c>
      <c r="FA24" s="35">
        <f>+SUM(EX24:EZ24)</f>
        <v>12.716718568769533</v>
      </c>
      <c r="FB24" s="35">
        <v>4.139104413890699</v>
      </c>
      <c r="FC24" s="35">
        <v>7.6286413392865</v>
      </c>
      <c r="FD24" s="35">
        <v>19.843237848237155</v>
      </c>
      <c r="FE24" s="35">
        <f>+SUM(FB24:FD24)</f>
        <v>31.610983601414354</v>
      </c>
      <c r="FF24" s="35">
        <v>13.845491621799756</v>
      </c>
      <c r="FG24" s="35">
        <v>17.79688931626486</v>
      </c>
      <c r="FH24" s="35">
        <v>12.683115685240073</v>
      </c>
      <c r="FI24" s="35">
        <f>+SUM(FF24:FH24)</f>
        <v>44.32549662330469</v>
      </c>
      <c r="FJ24" s="35">
        <v>7.943271458466645</v>
      </c>
      <c r="FK24" s="35"/>
      <c r="FL24" s="35"/>
      <c r="FM24" s="35">
        <f>+SUM(FJ24:FL24)</f>
        <v>7.943271458466645</v>
      </c>
      <c r="FN24" s="35"/>
      <c r="FO24" s="35"/>
      <c r="FP24" s="35"/>
      <c r="FQ24" s="35">
        <f>+SUM(FN24:FP24)</f>
        <v>0</v>
      </c>
      <c r="FR24" s="35"/>
      <c r="FS24" s="35"/>
      <c r="FT24" s="35"/>
      <c r="FU24" s="35">
        <f>+SUM(FR24:FT24)</f>
        <v>0</v>
      </c>
      <c r="FV24" s="35"/>
      <c r="FW24" s="35"/>
      <c r="FX24" s="35"/>
      <c r="FY24" s="35">
        <f>+SUM(FV24:FX24)</f>
        <v>0</v>
      </c>
      <c r="FZ24" s="61"/>
      <c r="GA24" s="16">
        <f>+AO24+AS24+AW24+BA24</f>
        <v>157.14298871291317</v>
      </c>
      <c r="GB24" s="16">
        <f>+BE24+BI24+BM24+BQ24</f>
        <v>197.81888104004244</v>
      </c>
      <c r="GC24" s="28">
        <f>+BU24+BY24+CC24+CG24</f>
        <v>166.29887983651204</v>
      </c>
      <c r="GD24" s="35">
        <f>+CK24+CO24+CS24+CW24</f>
        <v>281.1911437411856</v>
      </c>
      <c r="GE24" s="35">
        <f>+DA24+DE24+DI24+DM24</f>
        <v>253.66611349123718</v>
      </c>
      <c r="GF24" s="35">
        <f>+DQ24+DU24+DY24+EC24</f>
        <v>238.99819300832488</v>
      </c>
      <c r="GG24" s="35">
        <f>+EG24+EK24+EO24+ES24</f>
        <v>126.53126469639096</v>
      </c>
      <c r="GH24" s="35">
        <f>+EW24+FA24+FE24+FI24</f>
        <v>118.11621418513955</v>
      </c>
      <c r="GI24" s="35">
        <f>+FM24+FQ24+FU24+FY24</f>
        <v>7.943271458466645</v>
      </c>
      <c r="GJ24" s="33"/>
      <c r="GK24" s="33"/>
      <c r="GL24" s="33"/>
      <c r="GM24" s="33"/>
      <c r="GN24" s="33"/>
      <c r="GO24" s="33"/>
      <c r="GP24" s="33"/>
      <c r="GQ24" s="33"/>
      <c r="GR24" s="33"/>
      <c r="GS24" s="33"/>
      <c r="GT24" s="33"/>
      <c r="GU24" s="33"/>
      <c r="GV24" s="33"/>
      <c r="GW24" s="33"/>
    </row>
    <row r="25" spans="1:205" s="32" customFormat="1" ht="15" customHeight="1" outlineLevel="1">
      <c r="A25" s="20"/>
      <c r="B25" s="1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4"/>
      <c r="AK25" s="19"/>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61"/>
      <c r="GA25" s="35"/>
      <c r="GB25" s="35"/>
      <c r="GC25" s="35"/>
      <c r="GD25" s="35"/>
      <c r="GE25" s="35"/>
      <c r="GF25" s="35"/>
      <c r="GG25" s="35"/>
      <c r="GH25" s="35"/>
      <c r="GI25" s="35"/>
      <c r="GJ25" s="33"/>
      <c r="GK25" s="33"/>
      <c r="GL25" s="33"/>
      <c r="GM25" s="33"/>
      <c r="GN25" s="33"/>
      <c r="GO25" s="33"/>
      <c r="GP25" s="33"/>
      <c r="GQ25" s="33"/>
      <c r="GR25" s="33"/>
      <c r="GS25" s="33"/>
      <c r="GT25" s="33"/>
      <c r="GU25" s="33"/>
      <c r="GV25" s="33"/>
      <c r="GW25" s="33"/>
    </row>
    <row r="26" spans="1:205" ht="15" customHeight="1">
      <c r="A26" s="21"/>
      <c r="B26" s="36" t="s">
        <v>14</v>
      </c>
      <c r="C26" s="35">
        <f aca="true" t="shared" si="48" ref="C26:R26">+FJ26</f>
        <v>342.945859</v>
      </c>
      <c r="D26" s="35">
        <f t="shared" si="48"/>
        <v>0</v>
      </c>
      <c r="E26" s="35">
        <f t="shared" si="48"/>
        <v>0</v>
      </c>
      <c r="F26" s="35">
        <f t="shared" si="48"/>
        <v>342.945859</v>
      </c>
      <c r="G26" s="35">
        <f t="shared" si="48"/>
        <v>0</v>
      </c>
      <c r="H26" s="35">
        <f t="shared" si="48"/>
        <v>0</v>
      </c>
      <c r="I26" s="35">
        <f t="shared" si="48"/>
        <v>0</v>
      </c>
      <c r="J26" s="35">
        <f t="shared" si="48"/>
        <v>0</v>
      </c>
      <c r="K26" s="35">
        <f t="shared" si="48"/>
        <v>0</v>
      </c>
      <c r="L26" s="35">
        <f t="shared" si="48"/>
        <v>0</v>
      </c>
      <c r="M26" s="35">
        <f t="shared" si="48"/>
        <v>0</v>
      </c>
      <c r="N26" s="35">
        <f t="shared" si="48"/>
        <v>0</v>
      </c>
      <c r="O26" s="35">
        <f t="shared" si="48"/>
        <v>0</v>
      </c>
      <c r="P26" s="35">
        <f t="shared" si="48"/>
        <v>0</v>
      </c>
      <c r="Q26" s="35">
        <f t="shared" si="48"/>
        <v>0</v>
      </c>
      <c r="R26" s="35">
        <f t="shared" si="48"/>
        <v>0</v>
      </c>
      <c r="S26" s="35">
        <f aca="true" t="shared" si="49" ref="S26:AH26">+ET26</f>
        <v>321.008392</v>
      </c>
      <c r="T26" s="35">
        <f t="shared" si="49"/>
        <v>318.75429199999996</v>
      </c>
      <c r="U26" s="35">
        <f t="shared" si="49"/>
        <v>325.487541</v>
      </c>
      <c r="V26" s="35">
        <f t="shared" si="49"/>
        <v>965.250225</v>
      </c>
      <c r="W26" s="35">
        <f t="shared" si="49"/>
        <v>333.023231</v>
      </c>
      <c r="X26" s="35">
        <f t="shared" si="49"/>
        <v>343.302719</v>
      </c>
      <c r="Y26" s="35">
        <f t="shared" si="49"/>
        <v>368.192619</v>
      </c>
      <c r="Z26" s="35">
        <f t="shared" si="49"/>
        <v>1044.518569</v>
      </c>
      <c r="AA26" s="35">
        <f t="shared" si="49"/>
        <v>366.356602</v>
      </c>
      <c r="AB26" s="35">
        <f t="shared" si="49"/>
        <v>381.613279</v>
      </c>
      <c r="AC26" s="35">
        <f t="shared" si="49"/>
        <v>386.866911</v>
      </c>
      <c r="AD26" s="35">
        <f t="shared" si="49"/>
        <v>1134.836792</v>
      </c>
      <c r="AE26" s="35">
        <f t="shared" si="49"/>
        <v>396.614866</v>
      </c>
      <c r="AF26" s="35">
        <f t="shared" si="49"/>
        <v>385.113657</v>
      </c>
      <c r="AG26" s="35">
        <f t="shared" si="49"/>
        <v>371.282705</v>
      </c>
      <c r="AH26" s="35">
        <f t="shared" si="49"/>
        <v>1153.011228</v>
      </c>
      <c r="AI26" s="35">
        <f>+C26-S26</f>
        <v>21.93746699999997</v>
      </c>
      <c r="AJ26" s="34">
        <f>+(AI26/S26)</f>
        <v>0.06833923207839367</v>
      </c>
      <c r="AK26" s="19"/>
      <c r="AL26" s="35">
        <v>254.16902899999997</v>
      </c>
      <c r="AM26" s="35">
        <v>207.53342</v>
      </c>
      <c r="AN26" s="35">
        <v>258.341102</v>
      </c>
      <c r="AO26" s="35">
        <f>+SUM(AL26:AN26)</f>
        <v>720.043551</v>
      </c>
      <c r="AP26" s="35">
        <v>270.592218</v>
      </c>
      <c r="AQ26" s="35">
        <v>265.398633</v>
      </c>
      <c r="AR26" s="35">
        <v>284.262001</v>
      </c>
      <c r="AS26" s="35">
        <f>+SUM(AP26:AR26)</f>
        <v>820.2528520000001</v>
      </c>
      <c r="AT26" s="35">
        <v>288.83901</v>
      </c>
      <c r="AU26" s="35">
        <v>286.26386899999994</v>
      </c>
      <c r="AV26" s="35">
        <v>275.62006999999994</v>
      </c>
      <c r="AW26" s="35">
        <f>+SUM(AT26:AV26)</f>
        <v>850.7229489999999</v>
      </c>
      <c r="AX26" s="35">
        <v>278.16789500000004</v>
      </c>
      <c r="AY26" s="35">
        <v>283.041579</v>
      </c>
      <c r="AZ26" s="35">
        <v>265.673961</v>
      </c>
      <c r="BA26" s="35">
        <f>+SUM(AX26:AZ26)</f>
        <v>826.883435</v>
      </c>
      <c r="BB26" s="35">
        <v>251.96964799999998</v>
      </c>
      <c r="BC26" s="35">
        <v>251.052187</v>
      </c>
      <c r="BD26" s="35">
        <v>255.645689</v>
      </c>
      <c r="BE26" s="35">
        <f>+SUM(BB26:BD26)</f>
        <v>758.667524</v>
      </c>
      <c r="BF26" s="35">
        <v>265.09087999999997</v>
      </c>
      <c r="BG26" s="35">
        <v>278.118039</v>
      </c>
      <c r="BH26" s="35">
        <v>283.11002900000005</v>
      </c>
      <c r="BI26" s="35">
        <f>+SUM(BF26:BH26)</f>
        <v>826.318948</v>
      </c>
      <c r="BJ26" s="35">
        <v>297.724596</v>
      </c>
      <c r="BK26" s="35">
        <v>303.49388500000003</v>
      </c>
      <c r="BL26" s="35">
        <v>303.78529499999996</v>
      </c>
      <c r="BM26" s="35">
        <f>+SUM(BJ26:BL26)</f>
        <v>905.003776</v>
      </c>
      <c r="BN26" s="35">
        <v>306.88021200000003</v>
      </c>
      <c r="BO26" s="35">
        <v>298.81213399999996</v>
      </c>
      <c r="BP26" s="35">
        <v>278.183724</v>
      </c>
      <c r="BQ26" s="35">
        <f>+SUM(BN26:BP26)</f>
        <v>883.87607</v>
      </c>
      <c r="BR26" s="35">
        <v>267.71425400000004</v>
      </c>
      <c r="BS26" s="35">
        <v>271.84013699999997</v>
      </c>
      <c r="BT26" s="35">
        <v>274.923008</v>
      </c>
      <c r="BU26" s="35">
        <f>+SUM(BR26:BT26)</f>
        <v>814.477399</v>
      </c>
      <c r="BV26" s="35">
        <v>288.46691699999997</v>
      </c>
      <c r="BW26" s="35">
        <v>291.06184099999996</v>
      </c>
      <c r="BX26" s="35">
        <v>305.68645899999996</v>
      </c>
      <c r="BY26" s="35">
        <f>+SUM(BV26:BX26)</f>
        <v>885.2152169999999</v>
      </c>
      <c r="BZ26" s="35">
        <v>309.45617300000004</v>
      </c>
      <c r="CA26" s="35">
        <v>313.35536299999995</v>
      </c>
      <c r="CB26" s="35">
        <v>316.90753499999994</v>
      </c>
      <c r="CC26" s="35">
        <f>+SUM(BZ26:CB26)</f>
        <v>939.7190709999999</v>
      </c>
      <c r="CD26" s="35">
        <v>314.81422200000003</v>
      </c>
      <c r="CE26" s="35">
        <v>307.681535</v>
      </c>
      <c r="CF26" s="35">
        <v>288.613783</v>
      </c>
      <c r="CG26" s="35">
        <f>+SUM(CD26:CF26)</f>
        <v>911.10954</v>
      </c>
      <c r="CH26" s="35">
        <v>281.271576</v>
      </c>
      <c r="CI26" s="35">
        <v>268.691517</v>
      </c>
      <c r="CJ26" s="35">
        <v>281.146914</v>
      </c>
      <c r="CK26" s="35">
        <f>+SUM(CH26:CJ26)</f>
        <v>831.110007</v>
      </c>
      <c r="CL26" s="35">
        <v>293.62496</v>
      </c>
      <c r="CM26" s="35">
        <v>287.089936</v>
      </c>
      <c r="CN26" s="35">
        <v>315.336837</v>
      </c>
      <c r="CO26" s="35">
        <f>+SUM(CL26:CN26)</f>
        <v>896.051733</v>
      </c>
      <c r="CP26" s="35">
        <v>320.783646</v>
      </c>
      <c r="CQ26" s="35">
        <v>332.437512</v>
      </c>
      <c r="CR26" s="35">
        <v>332.62417</v>
      </c>
      <c r="CS26" s="35">
        <f>+SUM(CP26:CR26)</f>
        <v>985.8453280000001</v>
      </c>
      <c r="CT26" s="35">
        <v>326.906235</v>
      </c>
      <c r="CU26" s="35">
        <v>324.281878</v>
      </c>
      <c r="CV26" s="35">
        <v>314.493685</v>
      </c>
      <c r="CW26" s="35">
        <f>+SUM(CT26:CV26)</f>
        <v>965.681798</v>
      </c>
      <c r="CX26" s="35">
        <v>289.565839</v>
      </c>
      <c r="CY26" s="35">
        <v>280.913723</v>
      </c>
      <c r="CZ26" s="35">
        <v>265.163913</v>
      </c>
      <c r="DA26" s="35">
        <f>+SUM(CX26:CZ26)</f>
        <v>835.643475</v>
      </c>
      <c r="DB26" s="35">
        <v>310.21471</v>
      </c>
      <c r="DC26" s="35">
        <v>318.956003</v>
      </c>
      <c r="DD26" s="35">
        <v>333.385128</v>
      </c>
      <c r="DE26" s="35">
        <f>+SUM(DB26:DD26)</f>
        <v>962.555841</v>
      </c>
      <c r="DF26" s="35">
        <v>345.482508</v>
      </c>
      <c r="DG26" s="35">
        <v>351.0174610000002</v>
      </c>
      <c r="DH26" s="35">
        <v>343.667535</v>
      </c>
      <c r="DI26" s="35">
        <f>+SUM(DF26:DH26)</f>
        <v>1040.1675040000002</v>
      </c>
      <c r="DJ26" s="35">
        <v>333.112478</v>
      </c>
      <c r="DK26" s="35">
        <v>341.666245</v>
      </c>
      <c r="DL26" s="35">
        <v>334.036913</v>
      </c>
      <c r="DM26" s="35">
        <f>+SUM(DJ26:DL26)</f>
        <v>1008.815636</v>
      </c>
      <c r="DN26" s="35">
        <v>318.993885</v>
      </c>
      <c r="DO26" s="35">
        <v>313.439366</v>
      </c>
      <c r="DP26" s="35">
        <v>320.752077</v>
      </c>
      <c r="DQ26" s="35">
        <f>+SUM(DN26:DP26)</f>
        <v>953.1853279999999</v>
      </c>
      <c r="DR26" s="35">
        <v>338.480948</v>
      </c>
      <c r="DS26" s="35">
        <v>340.042821</v>
      </c>
      <c r="DT26" s="35">
        <v>364.060835</v>
      </c>
      <c r="DU26" s="35">
        <f>+SUM(DR26:DT26)</f>
        <v>1042.5846040000001</v>
      </c>
      <c r="DV26" s="35">
        <v>381.417293</v>
      </c>
      <c r="DW26" s="35">
        <v>393.939558</v>
      </c>
      <c r="DX26" s="35">
        <v>389.79213</v>
      </c>
      <c r="DY26" s="35">
        <f>+SUM(DV26:DX26)</f>
        <v>1165.148981</v>
      </c>
      <c r="DZ26" s="35">
        <v>382.889331</v>
      </c>
      <c r="EA26" s="35">
        <v>380.42521500000004</v>
      </c>
      <c r="EB26" s="35">
        <v>365.47045</v>
      </c>
      <c r="EC26" s="35">
        <f>+SUM(DZ26:EB26)</f>
        <v>1128.784996</v>
      </c>
      <c r="ED26" s="35">
        <v>342.81774999999993</v>
      </c>
      <c r="EE26" s="35">
        <v>332.208023</v>
      </c>
      <c r="EF26" s="35">
        <v>337.51412799999997</v>
      </c>
      <c r="EG26" s="35">
        <f>+SUM(ED26:EF26)</f>
        <v>1012.5399009999999</v>
      </c>
      <c r="EH26" s="35">
        <v>309.82461700000005</v>
      </c>
      <c r="EI26" s="35">
        <v>312.581989</v>
      </c>
      <c r="EJ26" s="35">
        <v>346.043585</v>
      </c>
      <c r="EK26" s="35">
        <f>+SUM(EH26:EJ26)</f>
        <v>968.450191</v>
      </c>
      <c r="EL26" s="35">
        <v>390.724181</v>
      </c>
      <c r="EM26" s="35">
        <v>373.325518</v>
      </c>
      <c r="EN26" s="35">
        <v>362.07817</v>
      </c>
      <c r="EO26" s="35">
        <f>+SUM(EL26:EN26)</f>
        <v>1126.127869</v>
      </c>
      <c r="EP26" s="35">
        <v>361.91457399999996</v>
      </c>
      <c r="EQ26" s="35">
        <v>356.136299</v>
      </c>
      <c r="ER26" s="35">
        <v>330.836918</v>
      </c>
      <c r="ES26" s="35">
        <f>+SUM(EP26:ER26)</f>
        <v>1048.8877909999999</v>
      </c>
      <c r="ET26" s="35">
        <v>321.008392</v>
      </c>
      <c r="EU26" s="35">
        <v>318.75429199999996</v>
      </c>
      <c r="EV26" s="35">
        <v>325.487541</v>
      </c>
      <c r="EW26" s="35">
        <f>+SUM(ET26:EV26)</f>
        <v>965.250225</v>
      </c>
      <c r="EX26" s="35">
        <v>333.023231</v>
      </c>
      <c r="EY26" s="35">
        <v>343.302719</v>
      </c>
      <c r="EZ26" s="35">
        <v>368.192619</v>
      </c>
      <c r="FA26" s="35">
        <f>+SUM(EX26:EZ26)</f>
        <v>1044.518569</v>
      </c>
      <c r="FB26" s="35">
        <v>366.356602</v>
      </c>
      <c r="FC26" s="35">
        <v>381.613279</v>
      </c>
      <c r="FD26" s="35">
        <v>386.866911</v>
      </c>
      <c r="FE26" s="35">
        <f>+SUM(FB26:FD26)</f>
        <v>1134.836792</v>
      </c>
      <c r="FF26" s="35">
        <v>396.614866</v>
      </c>
      <c r="FG26" s="35">
        <v>385.113657</v>
      </c>
      <c r="FH26" s="35">
        <v>371.282705</v>
      </c>
      <c r="FI26" s="35">
        <f>+SUM(FF26:FH26)</f>
        <v>1153.011228</v>
      </c>
      <c r="FJ26" s="35">
        <v>342.945859</v>
      </c>
      <c r="FK26" s="35"/>
      <c r="FL26" s="35"/>
      <c r="FM26" s="35">
        <f>+SUM(FJ26:FL26)</f>
        <v>342.945859</v>
      </c>
      <c r="FN26" s="35"/>
      <c r="FO26" s="35"/>
      <c r="FP26" s="35"/>
      <c r="FQ26" s="35">
        <f>+SUM(FN26:FP26)</f>
        <v>0</v>
      </c>
      <c r="FR26" s="35"/>
      <c r="FS26" s="35"/>
      <c r="FT26" s="35"/>
      <c r="FU26" s="35">
        <f>+SUM(FR26:FT26)</f>
        <v>0</v>
      </c>
      <c r="FV26" s="35"/>
      <c r="FW26" s="35"/>
      <c r="FX26" s="35"/>
      <c r="FY26" s="35">
        <f>+SUM(FV26:FX26)</f>
        <v>0</v>
      </c>
      <c r="FZ26" s="60"/>
      <c r="GA26" s="16">
        <f>+AO26+AS26+AW26+BA26</f>
        <v>3217.902787</v>
      </c>
      <c r="GB26" s="16">
        <f>+BE26+BI26+BM26+BQ26</f>
        <v>3373.8663180000003</v>
      </c>
      <c r="GC26" s="28">
        <f>+BU26+BY26+CC26+CG26</f>
        <v>3550.5212269999997</v>
      </c>
      <c r="GD26" s="35">
        <f>+CK26+CO26+CS26+CW26</f>
        <v>3678.688866</v>
      </c>
      <c r="GE26" s="35">
        <f>+DA26+DE26+DI26+DM26</f>
        <v>3847.1824560000005</v>
      </c>
      <c r="GF26" s="35">
        <f>+DQ26+DU26+DY26+EC26</f>
        <v>4289.703909000001</v>
      </c>
      <c r="GG26" s="35">
        <f>+EG26+EK26+EO26+ES26</f>
        <v>4156.005752</v>
      </c>
      <c r="GH26" s="35">
        <f>+EW26+FA26+FE26+FI26</f>
        <v>4297.616814</v>
      </c>
      <c r="GI26" s="35">
        <f>+FM26+FQ26+FU26+FY26</f>
        <v>342.945859</v>
      </c>
      <c r="GJ26" s="33"/>
      <c r="GK26" s="33"/>
      <c r="GL26" s="33"/>
      <c r="GM26" s="33"/>
      <c r="GN26" s="33"/>
      <c r="GO26" s="33"/>
      <c r="GP26" s="33"/>
      <c r="GQ26" s="33"/>
      <c r="GR26" s="33"/>
      <c r="GS26" s="33"/>
      <c r="GT26" s="33"/>
      <c r="GU26" s="33"/>
      <c r="GV26" s="33"/>
      <c r="GW26" s="33"/>
    </row>
    <row r="27" spans="1:205" s="32" customFormat="1" ht="15" customHeight="1">
      <c r="A27" s="21"/>
      <c r="B27" s="1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4"/>
      <c r="AK27" s="19"/>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61"/>
      <c r="GA27" s="35"/>
      <c r="GB27" s="35"/>
      <c r="GC27" s="35"/>
      <c r="GD27" s="35"/>
      <c r="GE27" s="35"/>
      <c r="GF27" s="35"/>
      <c r="GG27" s="35"/>
      <c r="GH27" s="35"/>
      <c r="GI27" s="35"/>
      <c r="GJ27" s="33"/>
      <c r="GK27" s="33"/>
      <c r="GL27" s="33"/>
      <c r="GM27" s="33"/>
      <c r="GN27" s="33"/>
      <c r="GO27" s="33"/>
      <c r="GP27" s="33"/>
      <c r="GQ27" s="33"/>
      <c r="GR27" s="33"/>
      <c r="GS27" s="33"/>
      <c r="GT27" s="33"/>
      <c r="GU27" s="33"/>
      <c r="GV27" s="33"/>
      <c r="GW27" s="33"/>
    </row>
    <row r="28" spans="1:205" ht="15" customHeight="1">
      <c r="A28" s="21"/>
      <c r="B28" s="36" t="s">
        <v>24</v>
      </c>
      <c r="C28" s="35">
        <f aca="true" t="shared" si="50" ref="C28:R28">+FJ28</f>
        <v>15.62045105066511</v>
      </c>
      <c r="D28" s="35">
        <f t="shared" si="50"/>
        <v>0</v>
      </c>
      <c r="E28" s="35">
        <f t="shared" si="50"/>
        <v>0</v>
      </c>
      <c r="F28" s="35">
        <f t="shared" si="50"/>
        <v>15.62045105066511</v>
      </c>
      <c r="G28" s="35">
        <f t="shared" si="50"/>
        <v>0</v>
      </c>
      <c r="H28" s="35">
        <f t="shared" si="50"/>
        <v>0</v>
      </c>
      <c r="I28" s="35">
        <f t="shared" si="50"/>
        <v>0</v>
      </c>
      <c r="J28" s="35">
        <f t="shared" si="50"/>
        <v>0</v>
      </c>
      <c r="K28" s="35">
        <f t="shared" si="50"/>
        <v>0</v>
      </c>
      <c r="L28" s="35">
        <f t="shared" si="50"/>
        <v>0</v>
      </c>
      <c r="M28" s="35">
        <f t="shared" si="50"/>
        <v>0</v>
      </c>
      <c r="N28" s="35">
        <f t="shared" si="50"/>
        <v>0</v>
      </c>
      <c r="O28" s="35">
        <f t="shared" si="50"/>
        <v>0</v>
      </c>
      <c r="P28" s="35">
        <f t="shared" si="50"/>
        <v>0</v>
      </c>
      <c r="Q28" s="35">
        <f t="shared" si="50"/>
        <v>0</v>
      </c>
      <c r="R28" s="35">
        <f t="shared" si="50"/>
        <v>0</v>
      </c>
      <c r="S28" s="35">
        <f aca="true" t="shared" si="51" ref="S28:AH28">+ET28</f>
        <v>14.179516476594092</v>
      </c>
      <c r="T28" s="35">
        <f t="shared" si="51"/>
        <v>14.42732511199503</v>
      </c>
      <c r="U28" s="35">
        <f t="shared" si="51"/>
        <v>14.499155343145684</v>
      </c>
      <c r="V28" s="35">
        <f t="shared" si="51"/>
        <v>14.369134184075714</v>
      </c>
      <c r="W28" s="35">
        <f t="shared" si="51"/>
        <v>14.409642909640297</v>
      </c>
      <c r="X28" s="35">
        <f t="shared" si="51"/>
        <v>14.8402513904084</v>
      </c>
      <c r="Y28" s="35">
        <f t="shared" si="51"/>
        <v>14.506395905660119</v>
      </c>
      <c r="Z28" s="35">
        <f t="shared" si="51"/>
        <v>14.585276743941986</v>
      </c>
      <c r="AA28" s="35">
        <f t="shared" si="51"/>
        <v>14.325969259890146</v>
      </c>
      <c r="AB28" s="35">
        <f t="shared" si="51"/>
        <v>14.43145931282134</v>
      </c>
      <c r="AC28" s="35">
        <f t="shared" si="51"/>
        <v>14.690324368004903</v>
      </c>
      <c r="AD28" s="35">
        <f t="shared" si="51"/>
        <v>14.485651552059242</v>
      </c>
      <c r="AE28" s="35">
        <f t="shared" si="51"/>
        <v>14.8161548597279</v>
      </c>
      <c r="AF28" s="35">
        <f t="shared" si="51"/>
        <v>14.928711540547992</v>
      </c>
      <c r="AG28" s="35">
        <f t="shared" si="51"/>
        <v>14.899109368967423</v>
      </c>
      <c r="AH28" s="35">
        <f t="shared" si="51"/>
        <v>14.880461856704347</v>
      </c>
      <c r="AI28" s="75">
        <f>+C28-S28</f>
        <v>1.4409345740710187</v>
      </c>
      <c r="AJ28" s="34">
        <f>+(AI28/S28)</f>
        <v>0.10162085402908816</v>
      </c>
      <c r="AK28" s="19"/>
      <c r="AL28" s="75">
        <f aca="true" t="shared" si="52" ref="AL28:CN28">+(AL32/AL26)*100</f>
        <v>19.47559322858839</v>
      </c>
      <c r="AM28" s="75">
        <f t="shared" si="52"/>
        <v>19.222498178939077</v>
      </c>
      <c r="AN28" s="75">
        <f t="shared" si="52"/>
        <v>18.694698352327972</v>
      </c>
      <c r="AO28" s="75">
        <f t="shared" si="52"/>
        <v>19.122471637866635</v>
      </c>
      <c r="AP28" s="75">
        <f t="shared" si="52"/>
        <v>19.50869608478355</v>
      </c>
      <c r="AQ28" s="75">
        <f t="shared" si="52"/>
        <v>19.48995929361127</v>
      </c>
      <c r="AR28" s="75">
        <f t="shared" si="52"/>
        <v>19.442360989230973</v>
      </c>
      <c r="AS28" s="75">
        <f>+(AS32/AS26)*100</f>
        <v>19.47964496267635</v>
      </c>
      <c r="AT28" s="75">
        <f t="shared" si="52"/>
        <v>19.651429630674457</v>
      </c>
      <c r="AU28" s="75">
        <f t="shared" si="52"/>
        <v>20.017949248133977</v>
      </c>
      <c r="AV28" s="75">
        <f t="shared" si="52"/>
        <v>19.503116114642687</v>
      </c>
      <c r="AW28" s="75">
        <f>+(AW32/AW26)*100</f>
        <v>19.72671047523498</v>
      </c>
      <c r="AX28" s="75">
        <f t="shared" si="52"/>
        <v>19.84491647905287</v>
      </c>
      <c r="AY28" s="75">
        <f t="shared" si="52"/>
        <v>19.422753936993374</v>
      </c>
      <c r="AZ28" s="75">
        <f t="shared" si="52"/>
        <v>19.114373193142</v>
      </c>
      <c r="BA28" s="75">
        <f>+(BA32/BA26)*100</f>
        <v>19.46569025722262</v>
      </c>
      <c r="BB28" s="75">
        <f t="shared" si="52"/>
        <v>18.715726067618622</v>
      </c>
      <c r="BC28" s="75">
        <f t="shared" si="52"/>
        <v>18.463608378928203</v>
      </c>
      <c r="BD28" s="75">
        <f t="shared" si="52"/>
        <v>18.255591403287642</v>
      </c>
      <c r="BE28" s="75">
        <f>+(BE32/BE26)*100</f>
        <v>18.477247241651646</v>
      </c>
      <c r="BF28" s="75">
        <f t="shared" si="52"/>
        <v>18.355110778881954</v>
      </c>
      <c r="BG28" s="75">
        <f t="shared" si="52"/>
        <v>18.443364987886714</v>
      </c>
      <c r="BH28" s="75">
        <f t="shared" si="52"/>
        <v>18.458055798708376</v>
      </c>
      <c r="BI28" s="75">
        <f>+(BI32/BI26)*100</f>
        <v>18.420085514388525</v>
      </c>
      <c r="BJ28" s="75">
        <f t="shared" si="52"/>
        <v>18.438308316854346</v>
      </c>
      <c r="BK28" s="75">
        <f t="shared" si="52"/>
        <v>18.49705255973807</v>
      </c>
      <c r="BL28" s="75">
        <f t="shared" si="52"/>
        <v>18.256062823827225</v>
      </c>
      <c r="BM28" s="75">
        <f>+(BM32/BM26)*100</f>
        <v>18.396833371265277</v>
      </c>
      <c r="BN28" s="75">
        <f t="shared" si="52"/>
        <v>18.06241054428101</v>
      </c>
      <c r="BO28" s="75">
        <f t="shared" si="52"/>
        <v>17.91024481337276</v>
      </c>
      <c r="BP28" s="75">
        <f t="shared" si="52"/>
        <v>17.737501788316237</v>
      </c>
      <c r="BQ28" s="75">
        <f>+(BQ32/BQ26)*100</f>
        <v>17.9087087991157</v>
      </c>
      <c r="BR28" s="75">
        <f t="shared" si="52"/>
        <v>17.710267961028155</v>
      </c>
      <c r="BS28" s="75">
        <f t="shared" si="52"/>
        <v>17.371670876211265</v>
      </c>
      <c r="BT28" s="75">
        <f t="shared" si="52"/>
        <v>17.1974300123198</v>
      </c>
      <c r="BU28" s="75">
        <f>+(BU32/BU26)*100</f>
        <v>17.424151698396447</v>
      </c>
      <c r="BV28" s="75">
        <f t="shared" si="52"/>
        <v>17.247867943104268</v>
      </c>
      <c r="BW28" s="75">
        <f t="shared" si="52"/>
        <v>17.32846421689909</v>
      </c>
      <c r="BX28" s="75">
        <f t="shared" si="52"/>
        <v>17.77107468022181</v>
      </c>
      <c r="BY28" s="75">
        <f>+(BY32/BY26)*100</f>
        <v>17.45504435749578</v>
      </c>
      <c r="BZ28" s="75">
        <f t="shared" si="52"/>
        <v>17.890669216457333</v>
      </c>
      <c r="CA28" s="75">
        <f t="shared" si="52"/>
        <v>18.044012703077943</v>
      </c>
      <c r="CB28" s="75">
        <f t="shared" si="52"/>
        <v>17.642360381394173</v>
      </c>
      <c r="CC28" s="75">
        <f>+(CC32/CC26)*100</f>
        <v>17.8580637944004</v>
      </c>
      <c r="CD28" s="75">
        <f t="shared" si="52"/>
        <v>16.68758470578905</v>
      </c>
      <c r="CE28" s="75">
        <f t="shared" si="52"/>
        <v>17.80670108814438</v>
      </c>
      <c r="CF28" s="75">
        <f t="shared" si="52"/>
        <v>17.054841960748192</v>
      </c>
      <c r="CG28" s="75">
        <f>+(CG32/CG26)*100</f>
        <v>17.181846846930377</v>
      </c>
      <c r="CH28" s="75">
        <f t="shared" si="52"/>
        <v>17.45578933309702</v>
      </c>
      <c r="CI28" s="75">
        <f t="shared" si="52"/>
        <v>18.05714793208198</v>
      </c>
      <c r="CJ28" s="75">
        <f t="shared" si="52"/>
        <v>17.754580951840065</v>
      </c>
      <c r="CK28" s="75">
        <f>+(CK32/CK26)*100</f>
        <v>17.7512788515633</v>
      </c>
      <c r="CL28" s="75">
        <f t="shared" si="52"/>
        <v>17.23535387355815</v>
      </c>
      <c r="CM28" s="75">
        <f t="shared" si="52"/>
        <v>17.536758680112282</v>
      </c>
      <c r="CN28" s="75">
        <f t="shared" si="52"/>
        <v>17.578038967514406</v>
      </c>
      <c r="CO28" s="75">
        <f>+(CO32/CO26)*100</f>
        <v>17.452519370897722</v>
      </c>
      <c r="CP28" s="75">
        <f aca="true" t="shared" si="53" ref="CP28:CW28">+(CP32/CP26)*100</f>
        <v>17.734070310464325</v>
      </c>
      <c r="CQ28" s="75">
        <f t="shared" si="53"/>
        <v>17.578871363231436</v>
      </c>
      <c r="CR28" s="75">
        <f t="shared" si="53"/>
        <v>17.567348685864484</v>
      </c>
      <c r="CS28" s="75">
        <f t="shared" si="53"/>
        <v>17.625483708848154</v>
      </c>
      <c r="CT28" s="75">
        <f t="shared" si="53"/>
        <v>17.957022408583747</v>
      </c>
      <c r="CU28" s="75">
        <f t="shared" si="53"/>
        <v>17.32828920881496</v>
      </c>
      <c r="CV28" s="75">
        <f t="shared" si="53"/>
        <v>17.323731753176684</v>
      </c>
      <c r="CW28" s="75">
        <f t="shared" si="53"/>
        <v>17.53964610977419</v>
      </c>
      <c r="CX28" s="75">
        <f aca="true" t="shared" si="54" ref="CX28:DF28">+(CX32/CX26)*100</f>
        <v>17.251516827156273</v>
      </c>
      <c r="CY28" s="75">
        <f t="shared" si="54"/>
        <v>17.048273220467006</v>
      </c>
      <c r="CZ28" s="75">
        <f t="shared" si="54"/>
        <v>17.079568867260363</v>
      </c>
      <c r="DA28" s="75">
        <f t="shared" si="54"/>
        <v>17.128631511610195</v>
      </c>
      <c r="DB28" s="75">
        <f t="shared" si="54"/>
        <v>17.00984450583519</v>
      </c>
      <c r="DC28" s="75">
        <f t="shared" si="54"/>
        <v>17.01426023490309</v>
      </c>
      <c r="DD28" s="75">
        <f t="shared" si="54"/>
        <v>17.41306641371139</v>
      </c>
      <c r="DE28" s="75">
        <f t="shared" si="54"/>
        <v>17.150965264629214</v>
      </c>
      <c r="DF28" s="75">
        <f t="shared" si="54"/>
        <v>17.154250950055502</v>
      </c>
      <c r="DG28" s="75">
        <f aca="true" t="shared" si="55" ref="DG28:DP28">+(DG32/DG26)*100</f>
        <v>17.248340388867188</v>
      </c>
      <c r="DH28" s="75">
        <f t="shared" si="55"/>
        <v>17.021421153740263</v>
      </c>
      <c r="DI28" s="75">
        <f t="shared" si="55"/>
        <v>17.142116123013626</v>
      </c>
      <c r="DJ28" s="75">
        <f t="shared" si="55"/>
        <v>16.952078748491708</v>
      </c>
      <c r="DK28" s="75">
        <f t="shared" si="55"/>
        <v>16.80435775341782</v>
      </c>
      <c r="DL28" s="75">
        <f t="shared" si="55"/>
        <v>16.71848722496379</v>
      </c>
      <c r="DM28" s="75">
        <f t="shared" si="55"/>
        <v>16.824702184795395</v>
      </c>
      <c r="DN28" s="75">
        <f t="shared" si="55"/>
        <v>16.664727883814056</v>
      </c>
      <c r="DO28" s="75">
        <f t="shared" si="55"/>
        <v>16.56513522997575</v>
      </c>
      <c r="DP28" s="75">
        <f t="shared" si="55"/>
        <v>16.30186285330083</v>
      </c>
      <c r="DQ28" s="75">
        <f aca="true" t="shared" si="56" ref="DQ28:DV28">+(DQ32/DQ26)*100</f>
        <v>16.509872404875</v>
      </c>
      <c r="DR28" s="75">
        <f t="shared" si="56"/>
        <v>16.31795111172455</v>
      </c>
      <c r="DS28" s="75">
        <f t="shared" si="56"/>
        <v>16.35505095803019</v>
      </c>
      <c r="DT28" s="75">
        <f t="shared" si="56"/>
        <v>16.502611662310265</v>
      </c>
      <c r="DU28" s="75">
        <f t="shared" si="56"/>
        <v>16.39453310835859</v>
      </c>
      <c r="DV28" s="75">
        <f t="shared" si="56"/>
        <v>16.370229694514407</v>
      </c>
      <c r="DW28" s="75">
        <f aca="true" t="shared" si="57" ref="DW28:EC28">+(DW32/DW26)*100</f>
        <v>16.15508512951516</v>
      </c>
      <c r="DX28" s="75">
        <f t="shared" si="57"/>
        <v>15.905688180722894</v>
      </c>
      <c r="DY28" s="75">
        <f t="shared" si="57"/>
        <v>16.142079831011138</v>
      </c>
      <c r="DZ28" s="75">
        <f t="shared" si="57"/>
        <v>15.722463866038472</v>
      </c>
      <c r="EA28" s="75">
        <f t="shared" si="57"/>
        <v>15.610624739070147</v>
      </c>
      <c r="EB28" s="75">
        <f t="shared" si="57"/>
        <v>15.500337773472875</v>
      </c>
      <c r="EC28" s="75">
        <f t="shared" si="57"/>
        <v>15.612853136477508</v>
      </c>
      <c r="ED28" s="75">
        <v>15.645322615919492</v>
      </c>
      <c r="EE28" s="75">
        <v>15.436412690661358</v>
      </c>
      <c r="EF28" s="75">
        <v>15.460583567312636</v>
      </c>
      <c r="EG28" s="75">
        <v>15.515200739218088</v>
      </c>
      <c r="EH28" s="75">
        <v>15.344154404287668</v>
      </c>
      <c r="EI28" s="75">
        <v>15.74747345482386</v>
      </c>
      <c r="EJ28" s="75">
        <v>15.097583497900729</v>
      </c>
      <c r="EK28" s="75">
        <v>15.386227802583235</v>
      </c>
      <c r="EL28" s="75">
        <v>15.804439953599022</v>
      </c>
      <c r="EM28" s="75">
        <v>14.750184106366081</v>
      </c>
      <c r="EN28" s="75">
        <v>14.694478773588857</v>
      </c>
      <c r="EO28" s="75">
        <v>15.098060735927884</v>
      </c>
      <c r="EP28" s="75">
        <v>14.988465451719707</v>
      </c>
      <c r="EQ28" s="75">
        <f aca="true" t="shared" si="58" ref="EQ28:FJ28">+(EQ32/EQ26)*100</f>
        <v>14.267951454991218</v>
      </c>
      <c r="ER28" s="75">
        <f t="shared" si="58"/>
        <v>14.248466616956485</v>
      </c>
      <c r="ES28" s="75">
        <f t="shared" si="58"/>
        <v>14.457090774401962</v>
      </c>
      <c r="ET28" s="75">
        <f t="shared" si="58"/>
        <v>14.179516476594092</v>
      </c>
      <c r="EU28" s="75">
        <f t="shared" si="58"/>
        <v>14.42732511199503</v>
      </c>
      <c r="EV28" s="75">
        <f t="shared" si="58"/>
        <v>14.499155343145684</v>
      </c>
      <c r="EW28" s="75">
        <f t="shared" si="58"/>
        <v>14.369134184075714</v>
      </c>
      <c r="EX28" s="75">
        <f t="shared" si="58"/>
        <v>14.409642909640297</v>
      </c>
      <c r="EY28" s="75">
        <f t="shared" si="58"/>
        <v>14.8402513904084</v>
      </c>
      <c r="EZ28" s="75">
        <f t="shared" si="58"/>
        <v>14.506395905660119</v>
      </c>
      <c r="FA28" s="75">
        <f>+_xlfn.IFERROR((FA32/FA26)*100,0)</f>
        <v>14.585276743941986</v>
      </c>
      <c r="FB28" s="75">
        <f t="shared" si="58"/>
        <v>14.325969259890146</v>
      </c>
      <c r="FC28" s="75">
        <f t="shared" si="58"/>
        <v>14.43145931282134</v>
      </c>
      <c r="FD28" s="75">
        <f t="shared" si="58"/>
        <v>14.690324368004903</v>
      </c>
      <c r="FE28" s="75">
        <f>+_xlfn.IFERROR((FE32/FE26)*100,0)</f>
        <v>14.485651552059242</v>
      </c>
      <c r="FF28" s="35">
        <f t="shared" si="58"/>
        <v>14.8161548597279</v>
      </c>
      <c r="FG28" s="35">
        <f t="shared" si="58"/>
        <v>14.928711540547992</v>
      </c>
      <c r="FH28" s="35">
        <f t="shared" si="58"/>
        <v>14.899109368967423</v>
      </c>
      <c r="FI28" s="75">
        <f>+_xlfn.IFERROR((FI32/FI26)*100,0)</f>
        <v>14.880461856704347</v>
      </c>
      <c r="FJ28" s="35">
        <f t="shared" si="58"/>
        <v>15.62045105066511</v>
      </c>
      <c r="FK28" s="35"/>
      <c r="FL28" s="75"/>
      <c r="FM28" s="75">
        <f>+(FM32/FM26)*100</f>
        <v>15.62045105066511</v>
      </c>
      <c r="FN28" s="75"/>
      <c r="FO28" s="75"/>
      <c r="FP28" s="75"/>
      <c r="FQ28" s="75">
        <f>+_xlfn.IFERROR((FQ32/FQ26)*100,0)</f>
        <v>0</v>
      </c>
      <c r="FR28" s="75"/>
      <c r="FS28" s="75"/>
      <c r="FT28" s="75"/>
      <c r="FU28" s="75">
        <f>+_xlfn.IFERROR((FU32/FU26)*100,0)</f>
        <v>0</v>
      </c>
      <c r="FV28" s="35"/>
      <c r="FW28" s="35"/>
      <c r="FX28" s="35"/>
      <c r="FY28" s="75">
        <f>+_xlfn.IFERROR((FY32/FY26)*100,0)</f>
        <v>0</v>
      </c>
      <c r="FZ28" s="61"/>
      <c r="GA28" s="17">
        <f aca="true" t="shared" si="59" ref="GA28:GF28">+(GA32/GA26)*100</f>
        <v>19.461454555341838</v>
      </c>
      <c r="GB28" s="17">
        <f t="shared" si="59"/>
        <v>18.29273305518501</v>
      </c>
      <c r="GC28" s="27">
        <f t="shared" si="59"/>
        <v>17.484519134110357</v>
      </c>
      <c r="GD28" s="27">
        <f t="shared" si="59"/>
        <v>17.58924057856683</v>
      </c>
      <c r="GE28" s="27">
        <f t="shared" si="59"/>
        <v>17.058168277483844</v>
      </c>
      <c r="GF28" s="27">
        <f t="shared" si="59"/>
        <v>16.145901827452324</v>
      </c>
      <c r="GG28" s="27">
        <f>+(GG32/GG26)*100</f>
        <v>15.028158401429806</v>
      </c>
      <c r="GH28" s="27">
        <f>+(GH32/GH26)*100</f>
        <v>14.589619095170475</v>
      </c>
      <c r="GI28" s="75">
        <f>+(GI32/GI26)*100</f>
        <v>15.62045105066511</v>
      </c>
      <c r="GJ28" s="33"/>
      <c r="GK28" s="33"/>
      <c r="GL28" s="33"/>
      <c r="GM28" s="33"/>
      <c r="GN28" s="33"/>
      <c r="GO28" s="33"/>
      <c r="GP28" s="33"/>
      <c r="GQ28" s="33"/>
      <c r="GR28" s="33"/>
      <c r="GS28" s="33"/>
      <c r="GT28" s="33"/>
      <c r="GU28" s="33"/>
      <c r="GV28" s="33"/>
      <c r="GW28" s="33"/>
    </row>
    <row r="29" spans="1:205" s="32" customFormat="1" ht="15" customHeight="1" outlineLevel="1">
      <c r="A29" s="21"/>
      <c r="B29" s="1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35"/>
      <c r="AJ29" s="34"/>
      <c r="AK29" s="19"/>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61"/>
      <c r="GA29" s="27"/>
      <c r="GB29" s="27"/>
      <c r="GC29" s="27"/>
      <c r="GD29" s="27"/>
      <c r="GE29" s="27"/>
      <c r="GF29" s="27"/>
      <c r="GG29" s="27"/>
      <c r="GH29" s="27"/>
      <c r="GI29" s="75"/>
      <c r="GJ29" s="33"/>
      <c r="GK29" s="33"/>
      <c r="GL29" s="33"/>
      <c r="GM29" s="33"/>
      <c r="GN29" s="33"/>
      <c r="GO29" s="33"/>
      <c r="GP29" s="33"/>
      <c r="GQ29" s="33"/>
      <c r="GR29" s="33"/>
      <c r="GS29" s="33"/>
      <c r="GT29" s="33"/>
      <c r="GU29" s="33"/>
      <c r="GV29" s="33"/>
      <c r="GW29" s="33"/>
    </row>
    <row r="30" spans="1:205" ht="15" customHeight="1">
      <c r="A30" s="21"/>
      <c r="B30" s="36" t="s">
        <v>15</v>
      </c>
      <c r="C30" s="35">
        <f aca="true" t="shared" si="60" ref="C30:R30">+FJ30</f>
        <v>9.033712974326951</v>
      </c>
      <c r="D30" s="35">
        <f t="shared" si="60"/>
        <v>0</v>
      </c>
      <c r="E30" s="35">
        <f t="shared" si="60"/>
        <v>0</v>
      </c>
      <c r="F30" s="35">
        <f t="shared" si="60"/>
        <v>9.033712974326951</v>
      </c>
      <c r="G30" s="35">
        <f t="shared" si="60"/>
        <v>0</v>
      </c>
      <c r="H30" s="35">
        <f t="shared" si="60"/>
        <v>0</v>
      </c>
      <c r="I30" s="35">
        <f t="shared" si="60"/>
        <v>0</v>
      </c>
      <c r="J30" s="35">
        <f t="shared" si="60"/>
        <v>0</v>
      </c>
      <c r="K30" s="35">
        <f t="shared" si="60"/>
        <v>0</v>
      </c>
      <c r="L30" s="35">
        <f t="shared" si="60"/>
        <v>0</v>
      </c>
      <c r="M30" s="35">
        <f t="shared" si="60"/>
        <v>0</v>
      </c>
      <c r="N30" s="35">
        <f t="shared" si="60"/>
        <v>0</v>
      </c>
      <c r="O30" s="35">
        <f t="shared" si="60"/>
        <v>0</v>
      </c>
      <c r="P30" s="35">
        <f t="shared" si="60"/>
        <v>0</v>
      </c>
      <c r="Q30" s="35">
        <f t="shared" si="60"/>
        <v>0</v>
      </c>
      <c r="R30" s="35">
        <f t="shared" si="60"/>
        <v>0</v>
      </c>
      <c r="S30" s="35">
        <f aca="true" t="shared" si="61" ref="S30:AH30">+ET30</f>
        <v>8.267579774425336</v>
      </c>
      <c r="T30" s="35">
        <f t="shared" si="61"/>
        <v>8.381814215665528</v>
      </c>
      <c r="U30" s="35">
        <f t="shared" si="61"/>
        <v>8.330025729433371</v>
      </c>
      <c r="V30" s="35">
        <f t="shared" si="61"/>
        <v>8.326360489840859</v>
      </c>
      <c r="W30" s="35">
        <f t="shared" si="61"/>
        <v>8.227401763902773</v>
      </c>
      <c r="X30" s="35">
        <f t="shared" si="61"/>
        <v>8.464913313663555</v>
      </c>
      <c r="Y30" s="35">
        <f t="shared" si="61"/>
        <v>8.286894712275588</v>
      </c>
      <c r="Z30" s="35">
        <f t="shared" si="61"/>
        <v>8.326436121328541</v>
      </c>
      <c r="AA30" s="35">
        <f t="shared" si="61"/>
        <v>8.193824074009727</v>
      </c>
      <c r="AB30" s="35">
        <f t="shared" si="61"/>
        <v>8.252684297812394</v>
      </c>
      <c r="AC30" s="35">
        <f t="shared" si="61"/>
        <v>8.338081208035904</v>
      </c>
      <c r="AD30" s="35">
        <f t="shared" si="61"/>
        <v>8.262794480494778</v>
      </c>
      <c r="AE30" s="35">
        <f t="shared" si="61"/>
        <v>8.373216573581486</v>
      </c>
      <c r="AF30" s="35">
        <f t="shared" si="61"/>
        <v>8.46780404518347</v>
      </c>
      <c r="AG30" s="35">
        <f t="shared" si="61"/>
        <v>8.516345814411148</v>
      </c>
      <c r="AH30" s="35">
        <f t="shared" si="61"/>
        <v>8.450898678161005</v>
      </c>
      <c r="AI30" s="75">
        <f>+C30-S30</f>
        <v>0.7661331999016152</v>
      </c>
      <c r="AJ30" s="34">
        <f>+(AI30/S30)</f>
        <v>0.09266716751515926</v>
      </c>
      <c r="AK30" s="19"/>
      <c r="AL30" s="75">
        <f>+AL34/AL26</f>
        <v>8.368506605578602</v>
      </c>
      <c r="AM30" s="75">
        <f>+AM34/AM26</f>
        <v>8.300601496134936</v>
      </c>
      <c r="AN30" s="75">
        <f>+AN34/AN26</f>
        <v>8.079642986194273</v>
      </c>
      <c r="AO30" s="75">
        <f>+AO34/AO26</f>
        <v>8.24529471758299</v>
      </c>
      <c r="AP30" s="75">
        <f>+AP34/AP26</f>
        <v>8.428459021685548</v>
      </c>
      <c r="AQ30" s="75">
        <f aca="true" t="shared" si="62" ref="AQ30:CN30">+AQ34/AQ26</f>
        <v>8.435898479024948</v>
      </c>
      <c r="AR30" s="75">
        <f t="shared" si="62"/>
        <v>8.453752424088508</v>
      </c>
      <c r="AS30" s="75">
        <f>+AS34/AS26</f>
        <v>8.43963164359714</v>
      </c>
      <c r="AT30" s="75">
        <f t="shared" si="62"/>
        <v>8.563090810136764</v>
      </c>
      <c r="AU30" s="75">
        <f t="shared" si="62"/>
        <v>8.728146159374385</v>
      </c>
      <c r="AV30" s="75">
        <f t="shared" si="62"/>
        <v>8.535571272766898</v>
      </c>
      <c r="AW30" s="75">
        <f>+AW34/AW26</f>
        <v>8.609715208952245</v>
      </c>
      <c r="AX30" s="75">
        <f t="shared" si="62"/>
        <v>8.713605152204927</v>
      </c>
      <c r="AY30" s="75">
        <f t="shared" si="62"/>
        <v>8.574640871580211</v>
      </c>
      <c r="AZ30" s="75">
        <f t="shared" si="62"/>
        <v>8.460155375897001</v>
      </c>
      <c r="BA30" s="75">
        <f>+BA34/BA26</f>
        <v>8.584605500157346</v>
      </c>
      <c r="BB30" s="75">
        <f t="shared" si="62"/>
        <v>8.348696527567487</v>
      </c>
      <c r="BC30" s="75">
        <f t="shared" si="62"/>
        <v>8.28678132180542</v>
      </c>
      <c r="BD30" s="75">
        <f t="shared" si="62"/>
        <v>8.169815287164898</v>
      </c>
      <c r="BE30" s="75">
        <f>+BE34/BE26</f>
        <v>8.267931022483053</v>
      </c>
      <c r="BF30" s="75">
        <f t="shared" si="62"/>
        <v>8.222561700990997</v>
      </c>
      <c r="BG30" s="75">
        <f t="shared" si="62"/>
        <v>8.274634145180361</v>
      </c>
      <c r="BH30" s="75">
        <f t="shared" si="62"/>
        <v>8.290409393338726</v>
      </c>
      <c r="BI30" s="75">
        <f>+BI34/BI26</f>
        <v>8.26333366718344</v>
      </c>
      <c r="BJ30" s="75">
        <f t="shared" si="62"/>
        <v>8.308404340768677</v>
      </c>
      <c r="BK30" s="75">
        <f t="shared" si="62"/>
        <v>8.350172881704024</v>
      </c>
      <c r="BL30" s="75">
        <f t="shared" si="62"/>
        <v>8.25689295276785</v>
      </c>
      <c r="BM30" s="75">
        <f>+BM34/BM26</f>
        <v>8.305120481055322</v>
      </c>
      <c r="BN30" s="75">
        <f t="shared" si="62"/>
        <v>8.18839513373381</v>
      </c>
      <c r="BO30" s="75">
        <f t="shared" si="62"/>
        <v>8.137215256794088</v>
      </c>
      <c r="BP30" s="75">
        <f t="shared" si="62"/>
        <v>8.075476601679252</v>
      </c>
      <c r="BQ30" s="75">
        <f>+BQ34/BQ26</f>
        <v>8.135553714459084</v>
      </c>
      <c r="BR30" s="75">
        <f t="shared" si="62"/>
        <v>8.078609571494837</v>
      </c>
      <c r="BS30" s="75">
        <f t="shared" si="62"/>
        <v>7.950006203131076</v>
      </c>
      <c r="BT30" s="75">
        <f t="shared" si="62"/>
        <v>7.878039504063627</v>
      </c>
      <c r="BU30" s="75">
        <f>+BU34/BU26</f>
        <v>7.967985404835035</v>
      </c>
      <c r="BV30" s="75">
        <f t="shared" si="62"/>
        <v>7.908751127291315</v>
      </c>
      <c r="BW30" s="75">
        <f t="shared" si="62"/>
        <v>7.953938360198852</v>
      </c>
      <c r="BX30" s="75">
        <f t="shared" si="62"/>
        <v>8.166542276280543</v>
      </c>
      <c r="BY30" s="75">
        <f>+BY34/BY26</f>
        <v>8.012630433622558</v>
      </c>
      <c r="BZ30" s="75">
        <f t="shared" si="62"/>
        <v>8.22872385276347</v>
      </c>
      <c r="CA30" s="75">
        <f t="shared" si="62"/>
        <v>8.301346528190741</v>
      </c>
      <c r="CB30" s="75">
        <f t="shared" si="62"/>
        <v>8.146289336667232</v>
      </c>
      <c r="CC30" s="75">
        <f>+CC34/CC26</f>
        <v>8.225140425994393</v>
      </c>
      <c r="CD30" s="75">
        <f t="shared" si="62"/>
        <v>7.749230397411966</v>
      </c>
      <c r="CE30" s="75">
        <f t="shared" si="62"/>
        <v>8.29601739005885</v>
      </c>
      <c r="CF30" s="75">
        <f t="shared" si="62"/>
        <v>7.960193991601572</v>
      </c>
      <c r="CG30" s="75">
        <f>+CG34/CG26</f>
        <v>8.00070758226283</v>
      </c>
      <c r="CH30" s="75">
        <f t="shared" si="62"/>
        <v>8.166307012124113</v>
      </c>
      <c r="CI30" s="75">
        <f t="shared" si="62"/>
        <v>8.510062963171256</v>
      </c>
      <c r="CJ30" s="75">
        <f t="shared" si="62"/>
        <v>8.400970578144067</v>
      </c>
      <c r="CK30" s="75">
        <f>+CK34/CK26</f>
        <v>8.356822400033982</v>
      </c>
      <c r="CL30" s="75">
        <f t="shared" si="62"/>
        <v>8.16888747230481</v>
      </c>
      <c r="CM30" s="75">
        <f t="shared" si="62"/>
        <v>8.319473391362626</v>
      </c>
      <c r="CN30" s="75">
        <f t="shared" si="62"/>
        <v>8.350377099361848</v>
      </c>
      <c r="CO30" s="75">
        <f>+CO34/CO26</f>
        <v>8.281003841382002</v>
      </c>
      <c r="CP30" s="75">
        <f aca="true" t="shared" si="63" ref="CP30:CV30">+CP34/CP26</f>
        <v>8.430333673836978</v>
      </c>
      <c r="CQ30" s="75">
        <f t="shared" si="63"/>
        <v>8.36423874012148</v>
      </c>
      <c r="CR30" s="75">
        <f t="shared" si="63"/>
        <v>8.383244196986647</v>
      </c>
      <c r="CS30" s="75">
        <f>+CS34/CS26</f>
        <v>8.392157773009195</v>
      </c>
      <c r="CT30" s="75">
        <f t="shared" si="63"/>
        <v>8.589095216339327</v>
      </c>
      <c r="CU30" s="75">
        <f t="shared" si="63"/>
        <v>8.312990949373992</v>
      </c>
      <c r="CV30" s="75">
        <f t="shared" si="63"/>
        <v>8.349842946862351</v>
      </c>
      <c r="CW30" s="75">
        <f>+CW34/CW26</f>
        <v>8.418460398090678</v>
      </c>
      <c r="CX30" s="75">
        <f aca="true" t="shared" si="64" ref="CX30:DF30">+CX34/CX26</f>
        <v>8.353995268999942</v>
      </c>
      <c r="CY30" s="75">
        <f t="shared" si="64"/>
        <v>8.32581404785981</v>
      </c>
      <c r="CZ30" s="75">
        <f t="shared" si="64"/>
        <v>8.403645630127658</v>
      </c>
      <c r="DA30" s="75">
        <f>+DA34/DA26</f>
        <v>8.360276646700315</v>
      </c>
      <c r="DB30" s="75">
        <f t="shared" si="64"/>
        <v>8.399580285892958</v>
      </c>
      <c r="DC30" s="75">
        <f t="shared" si="64"/>
        <v>8.405350812726356</v>
      </c>
      <c r="DD30" s="75">
        <f t="shared" si="64"/>
        <v>8.604858312066034</v>
      </c>
      <c r="DE30" s="75">
        <f>+DE34/DE26</f>
        <v>8.47259130739616</v>
      </c>
      <c r="DF30" s="75">
        <f t="shared" si="64"/>
        <v>8.505780945326471</v>
      </c>
      <c r="DG30" s="75">
        <f aca="true" t="shared" si="65" ref="DG30:DP30">+DG34/DG26</f>
        <v>8.577185715214318</v>
      </c>
      <c r="DH30" s="75">
        <f t="shared" si="65"/>
        <v>8.480208190162628</v>
      </c>
      <c r="DI30" s="75">
        <f>+DI34/DI26</f>
        <v>8.521428228323119</v>
      </c>
      <c r="DJ30" s="75">
        <f t="shared" si="65"/>
        <v>8.472140396133701</v>
      </c>
      <c r="DK30" s="75">
        <f t="shared" si="65"/>
        <v>8.425284868619858</v>
      </c>
      <c r="DL30" s="75">
        <f t="shared" si="65"/>
        <v>8.39435243565432</v>
      </c>
      <c r="DM30" s="75">
        <f>+DM34/DM26</f>
        <v>8.430514353840433</v>
      </c>
      <c r="DN30" s="75">
        <f t="shared" si="65"/>
        <v>8.395039983478053</v>
      </c>
      <c r="DO30" s="75">
        <f t="shared" si="65"/>
        <v>8.363687082209065</v>
      </c>
      <c r="DP30" s="75">
        <f t="shared" si="65"/>
        <v>8.239483145669544</v>
      </c>
      <c r="DQ30" s="75">
        <f aca="true" t="shared" si="66" ref="DQ30:DV30">+DQ34/DQ26</f>
        <v>8.332384369128686</v>
      </c>
      <c r="DR30" s="75">
        <f t="shared" si="66"/>
        <v>8.249115917803442</v>
      </c>
      <c r="DS30" s="75">
        <f t="shared" si="66"/>
        <v>8.269882451775091</v>
      </c>
      <c r="DT30" s="75">
        <f t="shared" si="66"/>
        <v>8.371395336221765</v>
      </c>
      <c r="DU30" s="75">
        <f t="shared" si="66"/>
        <v>8.298587833817654</v>
      </c>
      <c r="DV30" s="75">
        <f t="shared" si="66"/>
        <v>8.335933773432764</v>
      </c>
      <c r="DW30" s="75">
        <f aca="true" t="shared" si="67" ref="DW30:EC30">+DW34/DW26</f>
        <v>8.267461745540162</v>
      </c>
      <c r="DX30" s="75">
        <f t="shared" si="67"/>
        <v>8.216830797096904</v>
      </c>
      <c r="DY30" s="75">
        <f t="shared" si="67"/>
        <v>8.27293818708665</v>
      </c>
      <c r="DZ30" s="75">
        <f t="shared" si="67"/>
        <v>8.29337957484117</v>
      </c>
      <c r="EA30" s="75">
        <f t="shared" si="67"/>
        <v>8.253196803923736</v>
      </c>
      <c r="EB30" s="75">
        <f t="shared" si="67"/>
        <v>8.201259716620045</v>
      </c>
      <c r="EC30" s="75">
        <f t="shared" si="67"/>
        <v>8.250011151733984</v>
      </c>
      <c r="ED30" s="75">
        <v>8.30901180679822</v>
      </c>
      <c r="EE30" s="75">
        <v>8.238444325831347</v>
      </c>
      <c r="EF30" s="75">
        <v>8.30834754265457</v>
      </c>
      <c r="EG30" s="75">
        <v>8.28563763472863</v>
      </c>
      <c r="EH30" s="75">
        <v>8.316823226057599</v>
      </c>
      <c r="EI30" s="75">
        <v>8.722746011255303</v>
      </c>
      <c r="EJ30" s="75">
        <v>8.74683029225928</v>
      </c>
      <c r="EK30" s="75">
        <v>8.601489738494974</v>
      </c>
      <c r="EL30" s="75">
        <v>9.221132099807257</v>
      </c>
      <c r="EM30" s="75">
        <v>8.626305920373758</v>
      </c>
      <c r="EN30" s="75">
        <v>8.592067461620235</v>
      </c>
      <c r="EO30" s="75">
        <v>8.821679802296059</v>
      </c>
      <c r="EP30" s="75">
        <v>8.766123927161884</v>
      </c>
      <c r="EQ30" s="75">
        <v>8.444360917110561</v>
      </c>
      <c r="ER30" s="75">
        <f aca="true" t="shared" si="68" ref="ER30:FJ30">+ER34/ER26</f>
        <v>8.30905030154464</v>
      </c>
      <c r="ES30" s="75">
        <f t="shared" si="68"/>
        <v>8.445836469060398</v>
      </c>
      <c r="ET30" s="75">
        <f t="shared" si="68"/>
        <v>8.267579774425336</v>
      </c>
      <c r="EU30" s="75">
        <f t="shared" si="68"/>
        <v>8.381814215665528</v>
      </c>
      <c r="EV30" s="75">
        <f t="shared" si="68"/>
        <v>8.330025729433371</v>
      </c>
      <c r="EW30" s="75">
        <f t="shared" si="68"/>
        <v>8.326360489840859</v>
      </c>
      <c r="EX30" s="75">
        <f t="shared" si="68"/>
        <v>8.227401763902773</v>
      </c>
      <c r="EY30" s="75">
        <f t="shared" si="68"/>
        <v>8.464913313663555</v>
      </c>
      <c r="EZ30" s="75">
        <f t="shared" si="68"/>
        <v>8.286894712275588</v>
      </c>
      <c r="FA30" s="75">
        <f>+_xlfn.IFERROR((FA34/FA26),0)</f>
        <v>8.326436121328541</v>
      </c>
      <c r="FB30" s="75">
        <f t="shared" si="68"/>
        <v>8.193824074009727</v>
      </c>
      <c r="FC30" s="75">
        <f t="shared" si="68"/>
        <v>8.252684297812394</v>
      </c>
      <c r="FD30" s="75">
        <f t="shared" si="68"/>
        <v>8.338081208035904</v>
      </c>
      <c r="FE30" s="75">
        <f>+_xlfn.IFERROR((FE34/FE26),0)</f>
        <v>8.262794480494778</v>
      </c>
      <c r="FF30" s="35">
        <f t="shared" si="68"/>
        <v>8.373216573581486</v>
      </c>
      <c r="FG30" s="35">
        <f t="shared" si="68"/>
        <v>8.46780404518347</v>
      </c>
      <c r="FH30" s="35">
        <f t="shared" si="68"/>
        <v>8.516345814411148</v>
      </c>
      <c r="FI30" s="75">
        <f>+_xlfn.IFERROR((FI34/FI26),0)</f>
        <v>8.450898678161005</v>
      </c>
      <c r="FJ30" s="35">
        <f t="shared" si="68"/>
        <v>9.033712974326951</v>
      </c>
      <c r="FK30" s="35"/>
      <c r="FL30" s="75"/>
      <c r="FM30" s="75">
        <f>+FM34/FM26</f>
        <v>9.033712974326951</v>
      </c>
      <c r="FN30" s="75"/>
      <c r="FO30" s="75"/>
      <c r="FP30" s="75"/>
      <c r="FQ30" s="75">
        <f>+_xlfn.IFERROR((FQ34/FQ26),0)</f>
        <v>0</v>
      </c>
      <c r="FR30" s="75"/>
      <c r="FS30" s="75"/>
      <c r="FT30" s="75"/>
      <c r="FU30" s="75">
        <f>+_xlfn.IFERROR((FU34/FU26),0)</f>
        <v>0</v>
      </c>
      <c r="FV30" s="35"/>
      <c r="FW30" s="35"/>
      <c r="FX30" s="35"/>
      <c r="FY30" s="75">
        <f>+_xlfn.IFERROR((FY34/FY26),0)</f>
        <v>0</v>
      </c>
      <c r="FZ30" s="33"/>
      <c r="GA30" s="17">
        <f aca="true" t="shared" si="69" ref="GA30:GF30">+GA34/GA26</f>
        <v>8.478364765989435</v>
      </c>
      <c r="GB30" s="17">
        <f t="shared" si="69"/>
        <v>8.242100889360136</v>
      </c>
      <c r="GC30" s="27">
        <f t="shared" si="69"/>
        <v>8.05557463598569</v>
      </c>
      <c r="GD30" s="27">
        <f t="shared" si="69"/>
        <v>8.364004457347875</v>
      </c>
      <c r="GE30" s="27">
        <f t="shared" si="69"/>
        <v>8.45036612705864</v>
      </c>
      <c r="GF30" s="27">
        <f t="shared" si="69"/>
        <v>8.28634831119296</v>
      </c>
      <c r="GG30" s="27">
        <f>+GG34/GG26</f>
        <v>8.501927174683562</v>
      </c>
      <c r="GH30" s="27">
        <f>+GH34/GH26</f>
        <v>8.343005966836763</v>
      </c>
      <c r="GI30" s="75">
        <f>+GI34/GI26</f>
        <v>9.033712974326951</v>
      </c>
      <c r="GJ30" s="33"/>
      <c r="GK30" s="33"/>
      <c r="GL30" s="33"/>
      <c r="GM30" s="33"/>
      <c r="GN30" s="33"/>
      <c r="GO30" s="33"/>
      <c r="GP30" s="33"/>
      <c r="GQ30" s="33"/>
      <c r="GR30" s="33"/>
      <c r="GS30" s="33"/>
      <c r="GT30" s="33"/>
      <c r="GU30" s="33"/>
      <c r="GV30" s="33"/>
      <c r="GW30" s="33"/>
    </row>
    <row r="31" spans="1:205" s="32" customFormat="1" ht="15" customHeight="1" outlineLevel="1">
      <c r="A31" s="21"/>
      <c r="B31" s="1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35"/>
      <c r="AJ31" s="34"/>
      <c r="AK31" s="19"/>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3"/>
      <c r="GA31" s="27"/>
      <c r="GB31" s="27"/>
      <c r="GC31" s="27"/>
      <c r="GD31" s="27"/>
      <c r="GE31" s="27"/>
      <c r="GF31" s="27"/>
      <c r="GG31" s="27"/>
      <c r="GH31" s="27"/>
      <c r="GI31" s="75"/>
      <c r="GJ31" s="33"/>
      <c r="GK31" s="33"/>
      <c r="GL31" s="33"/>
      <c r="GM31" s="33"/>
      <c r="GN31" s="33"/>
      <c r="GO31" s="33"/>
      <c r="GP31" s="33"/>
      <c r="GQ31" s="33"/>
      <c r="GR31" s="33"/>
      <c r="GS31" s="33"/>
      <c r="GT31" s="33"/>
      <c r="GU31" s="33"/>
      <c r="GV31" s="33"/>
      <c r="GW31" s="33"/>
    </row>
    <row r="32" spans="1:205" ht="15" customHeight="1">
      <c r="A32" s="21"/>
      <c r="B32" s="36" t="s">
        <v>37</v>
      </c>
      <c r="C32" s="35">
        <f aca="true" t="shared" si="70" ref="C32:R32">+FJ32</f>
        <v>53.56969003537799</v>
      </c>
      <c r="D32" s="35">
        <f t="shared" si="70"/>
        <v>0</v>
      </c>
      <c r="E32" s="35">
        <f t="shared" si="70"/>
        <v>0</v>
      </c>
      <c r="F32" s="35">
        <f t="shared" si="70"/>
        <v>53.56969003537799</v>
      </c>
      <c r="G32" s="35">
        <f t="shared" si="70"/>
        <v>0</v>
      </c>
      <c r="H32" s="35">
        <f t="shared" si="70"/>
        <v>0</v>
      </c>
      <c r="I32" s="35">
        <f t="shared" si="70"/>
        <v>0</v>
      </c>
      <c r="J32" s="35">
        <f t="shared" si="70"/>
        <v>0</v>
      </c>
      <c r="K32" s="35">
        <f t="shared" si="70"/>
        <v>0</v>
      </c>
      <c r="L32" s="35">
        <f t="shared" si="70"/>
        <v>0</v>
      </c>
      <c r="M32" s="35">
        <f t="shared" si="70"/>
        <v>0</v>
      </c>
      <c r="N32" s="35">
        <f t="shared" si="70"/>
        <v>0</v>
      </c>
      <c r="O32" s="35">
        <f t="shared" si="70"/>
        <v>0</v>
      </c>
      <c r="P32" s="35">
        <f t="shared" si="70"/>
        <v>0</v>
      </c>
      <c r="Q32" s="35">
        <f t="shared" si="70"/>
        <v>0</v>
      </c>
      <c r="R32" s="35">
        <f t="shared" si="70"/>
        <v>0</v>
      </c>
      <c r="S32" s="35">
        <f aca="true" t="shared" si="71" ref="S32:AH32">+ET32</f>
        <v>45.517437834889755</v>
      </c>
      <c r="T32" s="35">
        <f t="shared" si="71"/>
        <v>45.987718015277956</v>
      </c>
      <c r="U32" s="35">
        <f t="shared" si="71"/>
        <v>47.192944192175005</v>
      </c>
      <c r="V32" s="35">
        <f t="shared" si="71"/>
        <v>138.69810004234273</v>
      </c>
      <c r="W32" s="35">
        <f t="shared" si="71"/>
        <v>47.98745839324653</v>
      </c>
      <c r="X32" s="35">
        <f t="shared" si="71"/>
        <v>50.94698652970734</v>
      </c>
      <c r="Y32" s="35">
        <f t="shared" si="71"/>
        <v>53.41147900755875</v>
      </c>
      <c r="Z32" s="35">
        <f t="shared" si="71"/>
        <v>152.34592393051264</v>
      </c>
      <c r="AA32" s="35">
        <f t="shared" si="71"/>
        <v>52.48413418409809</v>
      </c>
      <c r="AB32" s="35">
        <f t="shared" si="71"/>
        <v>55.07236509120838</v>
      </c>
      <c r="AC32" s="35">
        <f t="shared" si="71"/>
        <v>56.83200409838085</v>
      </c>
      <c r="AD32" s="35">
        <f t="shared" si="71"/>
        <v>164.3885033736873</v>
      </c>
      <c r="AE32" s="35">
        <f t="shared" si="71"/>
        <v>58.763072743262306</v>
      </c>
      <c r="AF32" s="35">
        <f t="shared" si="71"/>
        <v>57.49250695678541</v>
      </c>
      <c r="AG32" s="35">
        <f t="shared" si="71"/>
        <v>55.31781628601068</v>
      </c>
      <c r="AH32" s="35">
        <f t="shared" si="71"/>
        <v>171.57339598605842</v>
      </c>
      <c r="AI32" s="35">
        <f>+C32-S32</f>
        <v>8.052252200488233</v>
      </c>
      <c r="AJ32" s="34">
        <f>+(AI32/S32)</f>
        <v>0.17690477723498024</v>
      </c>
      <c r="AK32" s="19"/>
      <c r="AL32" s="35">
        <f>+AL34/AL83</f>
        <v>49.50092620109286</v>
      </c>
      <c r="AM32" s="35">
        <f>+AM34/AM83</f>
        <v>39.89310788018999</v>
      </c>
      <c r="AN32" s="35">
        <f>+AN34/AN83</f>
        <v>48.296089738979916</v>
      </c>
      <c r="AO32" s="35">
        <f>+SUM(AL32:AN32)</f>
        <v>137.69012382026278</v>
      </c>
      <c r="AP32" s="35">
        <f>+AP34/AP83</f>
        <v>52.78901343869498</v>
      </c>
      <c r="AQ32" s="35">
        <f>+AQ34/AQ83</f>
        <v>51.72608553750077</v>
      </c>
      <c r="AR32" s="35">
        <f>+AR34/AR83</f>
        <v>55.26724438963136</v>
      </c>
      <c r="AS32" s="35">
        <f>+SUM(AP32:AR32)</f>
        <v>159.7823433658271</v>
      </c>
      <c r="AT32" s="35">
        <f>+AT34/AT83</f>
        <v>56.760994796086756</v>
      </c>
      <c r="AU32" s="35">
        <f>+AU34/AU83</f>
        <v>57.304156012164725</v>
      </c>
      <c r="AV32" s="35">
        <f>+AV34/AV83</f>
        <v>53.75450228735944</v>
      </c>
      <c r="AW32" s="35">
        <f>+SUM(AT32:AV32)</f>
        <v>167.81965309561093</v>
      </c>
      <c r="AX32" s="35">
        <f>+AX34/AX83</f>
        <v>55.20218643428949</v>
      </c>
      <c r="AY32" s="35">
        <f>+AY34/AY83</f>
        <v>54.97446942855071</v>
      </c>
      <c r="AZ32" s="35">
        <f>+AZ34/AZ83</f>
        <v>50.78191238254254</v>
      </c>
      <c r="BA32" s="35">
        <f>+SUM(AX32:AZ32)</f>
        <v>160.95856824538274</v>
      </c>
      <c r="BB32" s="35">
        <f>+BB34/BB83</f>
        <v>47.157949093222875</v>
      </c>
      <c r="BC32" s="35">
        <f>+BC34/BC83</f>
        <v>46.3532926344145</v>
      </c>
      <c r="BD32" s="35">
        <f>+BD34/BD83</f>
        <v>46.669632423959456</v>
      </c>
      <c r="BE32" s="35">
        <f>+SUM(BB32:BD32)</f>
        <v>140.18087415159684</v>
      </c>
      <c r="BF32" s="35">
        <f>+BF34/BF83</f>
        <v>48.657724688713024</v>
      </c>
      <c r="BG32" s="35">
        <f>+BG34/BG83</f>
        <v>51.294325029923115</v>
      </c>
      <c r="BH32" s="35">
        <f>+BH34/BH83</f>
        <v>52.25660712455947</v>
      </c>
      <c r="BI32" s="35">
        <f>+SUM(BF32:BH32)</f>
        <v>152.20865684319563</v>
      </c>
      <c r="BJ32" s="35">
        <f>+BJ34/BJ83</f>
        <v>54.895378945589</v>
      </c>
      <c r="BK32" s="35">
        <f>+BK34/BK83</f>
        <v>56.13742342404102</v>
      </c>
      <c r="BL32" s="35">
        <f>+BL34/BL83</f>
        <v>55.459234304748854</v>
      </c>
      <c r="BM32" s="35">
        <f>+SUM(BJ32:BL32)</f>
        <v>166.49203667437888</v>
      </c>
      <c r="BN32" s="35">
        <f>+BN34/BN83</f>
        <v>55.429963770599926</v>
      </c>
      <c r="BO32" s="35">
        <f>+BO34/BO83</f>
        <v>53.51798473146346</v>
      </c>
      <c r="BP32" s="35">
        <f>+BP34/BP83</f>
        <v>49.3428430193047</v>
      </c>
      <c r="BQ32" s="35">
        <f>+SUM(BN32:BP32)</f>
        <v>158.29079152136808</v>
      </c>
      <c r="BR32" s="35">
        <f>+BR34/BR83</f>
        <v>47.412911753267544</v>
      </c>
      <c r="BS32" s="35">
        <f>+BS34/BS83</f>
        <v>47.223173909081794</v>
      </c>
      <c r="BT32" s="35">
        <f>+BT34/BT83</f>
        <v>47.279691888564365</v>
      </c>
      <c r="BU32" s="35">
        <f>+SUM(BR32:BT32)</f>
        <v>141.9157775509137</v>
      </c>
      <c r="BV32" s="35">
        <f>+BV34/BV83</f>
        <v>49.754392903704186</v>
      </c>
      <c r="BW32" s="35">
        <f>+BW34/BW83</f>
        <v>50.43654696673271</v>
      </c>
      <c r="BX32" s="35">
        <f>+BX34/BX83</f>
        <v>54.32376891621562</v>
      </c>
      <c r="BY32" s="35">
        <f>+SUM(BV32:BX32)</f>
        <v>154.5147087866525</v>
      </c>
      <c r="BZ32" s="35">
        <f>+BZ34/BZ83</f>
        <v>55.36378028133796</v>
      </c>
      <c r="CA32" s="35">
        <f>+CA34/CA83</f>
        <v>56.541881505495994</v>
      </c>
      <c r="CB32" s="35">
        <f>+CB34/CB83</f>
        <v>55.90996940049286</v>
      </c>
      <c r="CC32" s="35">
        <f>+SUM(BZ32:CB32)</f>
        <v>167.8156311873268</v>
      </c>
      <c r="CD32" s="35">
        <f>+CD34/CD83</f>
        <v>52.534889962120786</v>
      </c>
      <c r="CE32" s="35">
        <f>+CE34/CE83</f>
        <v>54.78793124086433</v>
      </c>
      <c r="CF32" s="35">
        <f>+CF34/CF83</f>
        <v>49.22262456758673</v>
      </c>
      <c r="CG32" s="35">
        <f>+SUM(CD32:CF32)</f>
        <v>156.54544577057186</v>
      </c>
      <c r="CH32" s="35">
        <f>+CH34/CH83</f>
        <v>49.098173760441874</v>
      </c>
      <c r="CI32" s="35">
        <f>+CI34/CI83</f>
        <v>48.518024705645196</v>
      </c>
      <c r="CJ32" s="35">
        <f>+CJ34/CJ83</f>
        <v>49.91645643973017</v>
      </c>
      <c r="CK32" s="35">
        <f>+SUM(CH32:CJ32)</f>
        <v>147.53265490581725</v>
      </c>
      <c r="CL32" s="35">
        <f>+CL34/CL83</f>
        <v>50.60730091709356</v>
      </c>
      <c r="CM32" s="35">
        <v>50.3462692712088</v>
      </c>
      <c r="CN32" s="35">
        <v>55.430032086787385</v>
      </c>
      <c r="CO32" s="35">
        <f>+SUM(CL32:CN32)</f>
        <v>156.38360227508974</v>
      </c>
      <c r="CP32" s="35">
        <v>56.88799732611098</v>
      </c>
      <c r="CQ32" s="35">
        <v>58.43876259760707</v>
      </c>
      <c r="CR32" s="35">
        <v>58.43324775736264</v>
      </c>
      <c r="CS32" s="35">
        <f>+SUM(CP32:CR32)</f>
        <v>173.76000768108068</v>
      </c>
      <c r="CT32" s="35">
        <v>58.702625874007445</v>
      </c>
      <c r="CU32" s="35">
        <v>56.192501671616505</v>
      </c>
      <c r="CV32" s="35">
        <v>54.482042370080464</v>
      </c>
      <c r="CW32" s="35">
        <f>+SUM(CT32:CV32)</f>
        <v>169.37716991570443</v>
      </c>
      <c r="CX32" s="35">
        <v>49.954499440781234</v>
      </c>
      <c r="CY32" s="35">
        <v>47.89093901082587</v>
      </c>
      <c r="CZ32" s="35">
        <v>45.28885313195735</v>
      </c>
      <c r="DA32" s="35">
        <f>+SUM(CX32:CZ32)</f>
        <v>143.13429158356445</v>
      </c>
      <c r="DB32" s="35">
        <v>52.76703980522757</v>
      </c>
      <c r="DC32" s="35">
        <v>54.268004385265314</v>
      </c>
      <c r="DD32" s="35">
        <v>58.05257375207673</v>
      </c>
      <c r="DE32" s="35">
        <f>+SUM(DB32:DD32)</f>
        <v>165.0876179425696</v>
      </c>
      <c r="DF32" s="35">
        <v>59.26493641086558</v>
      </c>
      <c r="DG32" s="35">
        <v>60.544686497639155</v>
      </c>
      <c r="DH32" s="35">
        <v>58.497098501027715</v>
      </c>
      <c r="DI32" s="35">
        <f>+SUM(DF32:DH32)</f>
        <v>178.30672140953246</v>
      </c>
      <c r="DJ32" s="35">
        <v>56.469489591612124</v>
      </c>
      <c r="DK32" s="35">
        <v>57.414818132469016</v>
      </c>
      <c r="DL32" s="35">
        <v>55.84591862656842</v>
      </c>
      <c r="DM32" s="35">
        <f>+SUM(DJ32:DL32)</f>
        <v>169.73022635064956</v>
      </c>
      <c r="DN32" s="35">
        <v>53.15946290125674</v>
      </c>
      <c r="DO32" s="35">
        <v>51.92165484187863</v>
      </c>
      <c r="DP32" s="35">
        <v>52.28856369165387</v>
      </c>
      <c r="DQ32" s="35">
        <f>+SUM(DN32:DP32)</f>
        <v>157.36968143478924</v>
      </c>
      <c r="DR32" s="35">
        <v>55.233155617141804</v>
      </c>
      <c r="DS32" s="35">
        <v>55.61417665367338</v>
      </c>
      <c r="DT32" s="35">
        <v>60.079545814614136</v>
      </c>
      <c r="DU32" s="35">
        <f>+SUM(DR32:DT32)</f>
        <v>170.92687808542934</v>
      </c>
      <c r="DV32" s="35">
        <v>62.438886958699015</v>
      </c>
      <c r="DW32" s="35">
        <v>63.641270953735756</v>
      </c>
      <c r="DX32" s="35">
        <v>61.99912075079801</v>
      </c>
      <c r="DY32" s="35">
        <f>+SUM(DV32:DX32)</f>
        <v>188.0792786632328</v>
      </c>
      <c r="DZ32" s="35">
        <v>60.19963671339144</v>
      </c>
      <c r="EA32" s="35">
        <v>59.38675272645081</v>
      </c>
      <c r="EB32" s="35">
        <v>56.6491542122313</v>
      </c>
      <c r="EC32" s="35">
        <f>+SUM(DZ32:EB32)</f>
        <v>176.23554365207355</v>
      </c>
      <c r="ED32" s="35">
        <v>53.14234708954857</v>
      </c>
      <c r="EE32" s="35">
        <v>50.77660281486672</v>
      </c>
      <c r="EF32" s="35">
        <v>51.70973024233841</v>
      </c>
      <c r="EG32" s="35">
        <f>+SUM(ED32:EF32)</f>
        <v>155.6286801467537</v>
      </c>
      <c r="EH32" s="35">
        <v>47.45200198314082</v>
      </c>
      <c r="EI32" s="35">
        <v>49.144762543824484</v>
      </c>
      <c r="EJ32" s="35">
        <v>51.98929752275382</v>
      </c>
      <c r="EK32" s="35">
        <f>+SUM(EH32:EJ32)</f>
        <v>148.58606204971912</v>
      </c>
      <c r="EL32" s="35">
        <v>61.44073941609593</v>
      </c>
      <c r="EM32" s="35">
        <v>54.61603369577669</v>
      </c>
      <c r="EN32" s="35">
        <v>52.66095220825908</v>
      </c>
      <c r="EO32" s="35">
        <f>+SUM(EL32:EN32)</f>
        <v>168.7177253201317</v>
      </c>
      <c r="EP32" s="35">
        <v>53.68611799376943</v>
      </c>
      <c r="EQ32" s="35">
        <v>50.81335425492237</v>
      </c>
      <c r="ER32" s="35">
        <v>47.1391878177977</v>
      </c>
      <c r="ES32" s="35">
        <f>+SUM(EP32:ER32)</f>
        <v>151.6386600664895</v>
      </c>
      <c r="ET32" s="35">
        <v>45.517437834889755</v>
      </c>
      <c r="EU32" s="35">
        <v>45.987718015277956</v>
      </c>
      <c r="EV32" s="35">
        <v>47.192944192175005</v>
      </c>
      <c r="EW32" s="35">
        <f>+SUM(ET32:EV32)</f>
        <v>138.69810004234273</v>
      </c>
      <c r="EX32" s="35">
        <v>47.98745839324653</v>
      </c>
      <c r="EY32" s="35">
        <v>50.94698652970734</v>
      </c>
      <c r="EZ32" s="35">
        <v>53.41147900755875</v>
      </c>
      <c r="FA32" s="35">
        <f>+SUM(EX32:EZ32)</f>
        <v>152.34592393051264</v>
      </c>
      <c r="FB32" s="35">
        <v>52.48413418409809</v>
      </c>
      <c r="FC32" s="35">
        <v>55.07236509120838</v>
      </c>
      <c r="FD32" s="35">
        <v>56.83200409838085</v>
      </c>
      <c r="FE32" s="35">
        <f>+SUM(FB32:FD32)</f>
        <v>164.3885033736873</v>
      </c>
      <c r="FF32" s="35">
        <v>58.763072743262306</v>
      </c>
      <c r="FG32" s="35">
        <v>57.49250695678541</v>
      </c>
      <c r="FH32" s="35">
        <v>55.31781628601068</v>
      </c>
      <c r="FI32" s="35">
        <f>+SUM(FF32:FH32)</f>
        <v>171.57339598605842</v>
      </c>
      <c r="FJ32" s="35">
        <v>53.56969003537799</v>
      </c>
      <c r="FK32" s="35"/>
      <c r="FL32" s="35"/>
      <c r="FM32" s="35">
        <f>+SUM(FJ32:FL32)</f>
        <v>53.56969003537799</v>
      </c>
      <c r="FN32" s="35"/>
      <c r="FO32" s="35"/>
      <c r="FP32" s="35"/>
      <c r="FQ32" s="35">
        <f>+SUM(FN32:FP32)</f>
        <v>0</v>
      </c>
      <c r="FR32" s="35"/>
      <c r="FS32" s="35"/>
      <c r="FT32" s="35"/>
      <c r="FU32" s="35">
        <f>+SUM(FR32:FT32)</f>
        <v>0</v>
      </c>
      <c r="FV32" s="35"/>
      <c r="FW32" s="35"/>
      <c r="FX32" s="35"/>
      <c r="FY32" s="35">
        <f>+SUM(FV32:FX32)</f>
        <v>0</v>
      </c>
      <c r="FZ32" s="33"/>
      <c r="GA32" s="16">
        <f>+AO32+AS32+AW32+BA32</f>
        <v>626.2506885270835</v>
      </c>
      <c r="GB32" s="16">
        <f>+BE32+BI32+BM32+BQ32</f>
        <v>617.1723591905395</v>
      </c>
      <c r="GC32" s="28">
        <f>+BU32+BY32+CC32+CG32</f>
        <v>620.7915632954648</v>
      </c>
      <c r="GD32" s="35">
        <f>+CK32+CO32+CS32+CW32</f>
        <v>647.053434777692</v>
      </c>
      <c r="GE32" s="35">
        <f>+DA32+DE32+DI32+DM32</f>
        <v>656.258857286316</v>
      </c>
      <c r="GF32" s="35">
        <f>+DQ32+DU32+DY32+EC32</f>
        <v>692.611381835525</v>
      </c>
      <c r="GG32" s="35">
        <f>+EG32+EK32+EO32+ES32</f>
        <v>624.571127583094</v>
      </c>
      <c r="GH32" s="35">
        <f>+EW32+FA32+FE32+FI32</f>
        <v>627.005923332601</v>
      </c>
      <c r="GI32" s="35">
        <f>+FM32+FQ32+FU32+FY32</f>
        <v>53.56969003537799</v>
      </c>
      <c r="GJ32" s="33"/>
      <c r="GK32" s="33"/>
      <c r="GL32" s="33"/>
      <c r="GM32" s="33"/>
      <c r="GN32" s="33"/>
      <c r="GO32" s="33"/>
      <c r="GP32" s="33"/>
      <c r="GQ32" s="33"/>
      <c r="GR32" s="33"/>
      <c r="GS32" s="33"/>
      <c r="GT32" s="33"/>
      <c r="GU32" s="33"/>
      <c r="GV32" s="33"/>
      <c r="GW32" s="33"/>
    </row>
    <row r="33" spans="1:205" s="32" customFormat="1" ht="15" customHeight="1" outlineLevel="1">
      <c r="A33" s="21"/>
      <c r="B33" s="1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4"/>
      <c r="AK33" s="19"/>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3"/>
      <c r="GA33" s="35"/>
      <c r="GB33" s="35"/>
      <c r="GC33" s="35"/>
      <c r="GD33" s="35"/>
      <c r="GE33" s="35"/>
      <c r="GF33" s="35"/>
      <c r="GG33" s="35"/>
      <c r="GH33" s="35"/>
      <c r="GI33" s="35"/>
      <c r="GJ33" s="33"/>
      <c r="GK33" s="33"/>
      <c r="GL33" s="33"/>
      <c r="GM33" s="33"/>
      <c r="GN33" s="33"/>
      <c r="GO33" s="33"/>
      <c r="GP33" s="33"/>
      <c r="GQ33" s="33"/>
      <c r="GR33" s="33"/>
      <c r="GS33" s="33"/>
      <c r="GT33" s="33"/>
      <c r="GU33" s="33"/>
      <c r="GV33" s="33"/>
      <c r="GW33" s="33"/>
    </row>
    <row r="34" spans="1:205" ht="15" customHeight="1">
      <c r="A34" s="21"/>
      <c r="B34" s="36" t="s">
        <v>38</v>
      </c>
      <c r="C34" s="35">
        <f aca="true" t="shared" si="72" ref="C34:R34">+FJ34</f>
        <v>3098.074455940001</v>
      </c>
      <c r="D34" s="35">
        <f t="shared" si="72"/>
        <v>0</v>
      </c>
      <c r="E34" s="35">
        <f t="shared" si="72"/>
        <v>0</v>
      </c>
      <c r="F34" s="35">
        <f t="shared" si="72"/>
        <v>3098.074455940001</v>
      </c>
      <c r="G34" s="35">
        <f t="shared" si="72"/>
        <v>0</v>
      </c>
      <c r="H34" s="35">
        <f t="shared" si="72"/>
        <v>0</v>
      </c>
      <c r="I34" s="35">
        <f t="shared" si="72"/>
        <v>0</v>
      </c>
      <c r="J34" s="35">
        <f t="shared" si="72"/>
        <v>0</v>
      </c>
      <c r="K34" s="35">
        <f t="shared" si="72"/>
        <v>0</v>
      </c>
      <c r="L34" s="35">
        <f t="shared" si="72"/>
        <v>0</v>
      </c>
      <c r="M34" s="35">
        <f t="shared" si="72"/>
        <v>0</v>
      </c>
      <c r="N34" s="35">
        <f t="shared" si="72"/>
        <v>0</v>
      </c>
      <c r="O34" s="35">
        <f t="shared" si="72"/>
        <v>0</v>
      </c>
      <c r="P34" s="35">
        <f t="shared" si="72"/>
        <v>0</v>
      </c>
      <c r="Q34" s="35">
        <f t="shared" si="72"/>
        <v>0</v>
      </c>
      <c r="R34" s="35">
        <f t="shared" si="72"/>
        <v>0</v>
      </c>
      <c r="S34" s="35">
        <f aca="true" t="shared" si="73" ref="S34:AH34">+ET34</f>
        <v>2653.9624891199996</v>
      </c>
      <c r="T34" s="35">
        <f t="shared" si="73"/>
        <v>2671.7392559900004</v>
      </c>
      <c r="U34" s="35">
        <f t="shared" si="73"/>
        <v>2711.31959114</v>
      </c>
      <c r="V34" s="35">
        <f t="shared" si="73"/>
        <v>8037.02133625</v>
      </c>
      <c r="W34" s="35">
        <f t="shared" si="73"/>
        <v>2739.9159181500004</v>
      </c>
      <c r="X34" s="35">
        <f t="shared" si="73"/>
        <v>2906.0277566799987</v>
      </c>
      <c r="Y34" s="35">
        <f t="shared" si="73"/>
        <v>3051.17346749</v>
      </c>
      <c r="Z34" s="35">
        <f t="shared" si="73"/>
        <v>8697.11714232</v>
      </c>
      <c r="AA34" s="35">
        <f t="shared" si="73"/>
        <v>3001.8615451400005</v>
      </c>
      <c r="AB34" s="35">
        <f t="shared" si="73"/>
        <v>3149.3339154399996</v>
      </c>
      <c r="AC34" s="35">
        <f t="shared" si="73"/>
        <v>3225.7277206199988</v>
      </c>
      <c r="AD34" s="35">
        <f t="shared" si="73"/>
        <v>9376.9231812</v>
      </c>
      <c r="AE34" s="35">
        <f t="shared" si="73"/>
        <v>3320.94216932</v>
      </c>
      <c r="AF34" s="35">
        <f t="shared" si="73"/>
        <v>3261.0669825999994</v>
      </c>
      <c r="AG34" s="35">
        <f t="shared" si="73"/>
        <v>3161.9719106899993</v>
      </c>
      <c r="AH34" s="35">
        <f t="shared" si="73"/>
        <v>9743.981062609999</v>
      </c>
      <c r="AI34" s="35">
        <f>+C34-S34</f>
        <v>444.11196682000127</v>
      </c>
      <c r="AJ34" s="34">
        <f>+(AI34/S34)</f>
        <v>0.16733920266041885</v>
      </c>
      <c r="AK34" s="19"/>
      <c r="AL34" s="35">
        <v>2127.0151981199992</v>
      </c>
      <c r="AM34" s="35">
        <v>1722.65221655</v>
      </c>
      <c r="AN34" s="35">
        <v>2087.303872819999</v>
      </c>
      <c r="AO34" s="35">
        <f>+SUM(AL34:AN34)</f>
        <v>5936.971287489998</v>
      </c>
      <c r="AP34" s="35">
        <v>2280.6754210000026</v>
      </c>
      <c r="AQ34" s="35">
        <v>2238.8759244600005</v>
      </c>
      <c r="AR34" s="35">
        <v>2403.08058003</v>
      </c>
      <c r="AS34" s="35">
        <f>+SUM(AP34:AR34)</f>
        <v>6922.631925490003</v>
      </c>
      <c r="AT34" s="35">
        <v>2473.3546721400007</v>
      </c>
      <c r="AU34" s="35">
        <v>2498.5528887800015</v>
      </c>
      <c r="AV34" s="35">
        <v>2352.574751690001</v>
      </c>
      <c r="AW34" s="35">
        <f>+SUM(AT34:AV34)</f>
        <v>7324.482312610004</v>
      </c>
      <c r="AX34" s="35">
        <v>2423.84520305</v>
      </c>
      <c r="AY34" s="35">
        <v>2426.9798916499994</v>
      </c>
      <c r="AZ34" s="35">
        <v>2247.6429893900004</v>
      </c>
      <c r="BA34" s="35">
        <f>+SUM(AX34:AZ34)</f>
        <v>7098.46808409</v>
      </c>
      <c r="BB34" s="35">
        <v>2103.6181253100017</v>
      </c>
      <c r="BC34" s="35">
        <v>2080.4145740300014</v>
      </c>
      <c r="BD34" s="35">
        <v>2088.578058090003</v>
      </c>
      <c r="BE34" s="35">
        <f>+SUM(BB34:BD34)</f>
        <v>6272.610757430006</v>
      </c>
      <c r="BF34" s="35">
        <v>2179.72611717</v>
      </c>
      <c r="BG34" s="35">
        <v>2301.3250219000033</v>
      </c>
      <c r="BH34" s="35">
        <v>2347.0980437699995</v>
      </c>
      <c r="BI34" s="35">
        <f>+SUM(BF34:BH34)</f>
        <v>6828.149182840003</v>
      </c>
      <c r="BJ34" s="35">
        <v>2473.616325760001</v>
      </c>
      <c r="BK34" s="35">
        <v>2534.22640829</v>
      </c>
      <c r="BL34" s="35">
        <v>2508.322661440002</v>
      </c>
      <c r="BM34" s="35">
        <f>+SUM(BJ34:BL34)</f>
        <v>7516.165395490003</v>
      </c>
      <c r="BN34" s="35">
        <v>2512.85643458</v>
      </c>
      <c r="BO34" s="35">
        <v>2431.498655699999</v>
      </c>
      <c r="BP34" s="35">
        <v>2246.466154129999</v>
      </c>
      <c r="BQ34" s="35">
        <f>+SUM(BN34:BP34)</f>
        <v>7190.821244409997</v>
      </c>
      <c r="BR34" s="35">
        <v>2162.7589347900002</v>
      </c>
      <c r="BS34" s="35">
        <v>2161.130775410001</v>
      </c>
      <c r="BT34" s="35">
        <v>2165.8543176000003</v>
      </c>
      <c r="BU34" s="35">
        <f>+SUM(BR34:BT34)</f>
        <v>6489.744027800001</v>
      </c>
      <c r="BV34" s="35">
        <v>2281.41305501</v>
      </c>
      <c r="BW34" s="35">
        <v>2315.0879423199985</v>
      </c>
      <c r="BX34" s="35">
        <v>2496.4013907099984</v>
      </c>
      <c r="BY34" s="35">
        <f>+SUM(BV34:BX34)</f>
        <v>7092.902388039996</v>
      </c>
      <c r="BZ34" s="35">
        <v>2546.429392149999</v>
      </c>
      <c r="CA34" s="35">
        <v>2601.2714547299993</v>
      </c>
      <c r="CB34" s="35">
        <v>2581.6204730799973</v>
      </c>
      <c r="CC34" s="35">
        <f>+SUM(BZ34:CB34)</f>
        <v>7729.321319959995</v>
      </c>
      <c r="CD34" s="35">
        <v>2439.567938659999</v>
      </c>
      <c r="CE34" s="35">
        <v>2552.5313649600007</v>
      </c>
      <c r="CF34" s="35">
        <v>2297.42170133</v>
      </c>
      <c r="CG34" s="35">
        <f>+SUM(CD34:CF34)</f>
        <v>7289.52100495</v>
      </c>
      <c r="CH34" s="35">
        <v>2296.9500434</v>
      </c>
      <c r="CI34" s="35">
        <v>2286.58172734</v>
      </c>
      <c r="CJ34" s="35">
        <v>2361.90695265</v>
      </c>
      <c r="CK34" s="35">
        <f>+SUM(CH34:CJ34)</f>
        <v>6945.43872339</v>
      </c>
      <c r="CL34" s="35">
        <v>2398.589257300001</v>
      </c>
      <c r="CM34" s="35">
        <v>2388.4370834799993</v>
      </c>
      <c r="CN34" s="35">
        <v>2633.1815022700002</v>
      </c>
      <c r="CO34" s="35">
        <f>+SUM(CL34:CN34)</f>
        <v>7420.2078430500005</v>
      </c>
      <c r="CP34" s="35">
        <v>2704.3131728900007</v>
      </c>
      <c r="CQ34" s="35">
        <v>2780.58671654</v>
      </c>
      <c r="CR34" s="35">
        <v>2788.4696429299997</v>
      </c>
      <c r="CS34" s="35">
        <f>+SUM(CP34:CR34)</f>
        <v>8273.36953236</v>
      </c>
      <c r="CT34" s="35">
        <v>2807.82877923</v>
      </c>
      <c r="CU34" s="35">
        <v>2695.752316860001</v>
      </c>
      <c r="CV34" s="35">
        <v>2625.97287753</v>
      </c>
      <c r="CW34" s="35">
        <f>+SUM(CT34:CV34)</f>
        <v>8129.553973620001</v>
      </c>
      <c r="CX34" s="35">
        <v>2419.031649069999</v>
      </c>
      <c r="CY34" s="35">
        <v>2338.8354211899996</v>
      </c>
      <c r="CZ34" s="35">
        <v>2228.3435587500003</v>
      </c>
      <c r="DA34" s="35">
        <f>+SUM(CX34:CZ34)</f>
        <v>6986.210629009998</v>
      </c>
      <c r="DB34" s="35">
        <v>2605.673362510001</v>
      </c>
      <c r="DC34" s="35">
        <v>2680.9370990400002</v>
      </c>
      <c r="DD34" s="35">
        <v>2868.731789789999</v>
      </c>
      <c r="DE34" s="35">
        <f>+SUM(DB34:DD34)</f>
        <v>8155.34225134</v>
      </c>
      <c r="DF34" s="35">
        <v>2938.59853349</v>
      </c>
      <c r="DG34" s="35">
        <v>3010.741952280001</v>
      </c>
      <c r="DH34" s="35">
        <v>2914.3722450000014</v>
      </c>
      <c r="DI34" s="35">
        <f>+SUM(DF34:DH34)</f>
        <v>8863.712730770003</v>
      </c>
      <c r="DJ34" s="35">
        <v>2822.175681319999</v>
      </c>
      <c r="DK34" s="35">
        <v>2878.6354441166654</v>
      </c>
      <c r="DL34" s="35">
        <v>2804.0235742400005</v>
      </c>
      <c r="DM34" s="35">
        <f>+SUM(DJ34:DL34)</f>
        <v>8504.834699676665</v>
      </c>
      <c r="DN34" s="35">
        <v>2677.9664190599997</v>
      </c>
      <c r="DO34" s="35">
        <v>2621.5087764699992</v>
      </c>
      <c r="DP34" s="35">
        <v>2642.83133238</v>
      </c>
      <c r="DQ34" s="35">
        <f>+SUM(DN34:DP34)</f>
        <v>7942.306527909999</v>
      </c>
      <c r="DR34" s="35">
        <v>2792.1685760199994</v>
      </c>
      <c r="DS34" s="35">
        <v>2812.1141582399987</v>
      </c>
      <c r="DT34" s="35">
        <v>3047.6971762200014</v>
      </c>
      <c r="DU34" s="35">
        <f>+SUM(DR34:DT34)</f>
        <v>8651.979910479999</v>
      </c>
      <c r="DV34" s="35">
        <v>3179.46929449</v>
      </c>
      <c r="DW34" s="35">
        <v>3256.88022582</v>
      </c>
      <c r="DX34" s="35">
        <v>3202.85597825</v>
      </c>
      <c r="DY34" s="35">
        <f>+SUM(DV34:DX34)</f>
        <v>9639.205498559999</v>
      </c>
      <c r="DZ34" s="35">
        <v>3175.44655714</v>
      </c>
      <c r="EA34" s="35">
        <v>3139.7241685700005</v>
      </c>
      <c r="EB34" s="35">
        <v>2997.3180792000007</v>
      </c>
      <c r="EC34" s="35">
        <f>+SUM(DZ34:EB34)</f>
        <v>9312.48880491</v>
      </c>
      <c r="ED34" s="35">
        <v>2822.3156546399996</v>
      </c>
      <c r="EE34" s="35">
        <v>2709.95744755</v>
      </c>
      <c r="EF34" s="35">
        <v>2778.8240225199997</v>
      </c>
      <c r="EG34" s="35">
        <f>+SUM(ED34:EF34)</f>
        <v>8311.097124709999</v>
      </c>
      <c r="EH34" s="35">
        <v>2571.9886662900003</v>
      </c>
      <c r="EI34" s="35">
        <v>2722.1971999699995</v>
      </c>
      <c r="EJ34" s="35">
        <v>3012.0155487699994</v>
      </c>
      <c r="EK34" s="35">
        <f>+SUM(EH34:EJ34)</f>
        <v>8306.201415029998</v>
      </c>
      <c r="EL34" s="35">
        <v>3584.77222938</v>
      </c>
      <c r="EM34" s="35">
        <v>3194.09311382</v>
      </c>
      <c r="EN34" s="35">
        <v>3079.1596009500004</v>
      </c>
      <c r="EO34" s="35">
        <f>+SUM(EL34:EN34)</f>
        <v>9858.02494415</v>
      </c>
      <c r="EP34" s="35">
        <v>3139.8755597599998</v>
      </c>
      <c r="EQ34" s="35">
        <v>2969.918604150001</v>
      </c>
      <c r="ER34" s="35">
        <v>2748.9405932699997</v>
      </c>
      <c r="ES34" s="35">
        <f>+SUM(EP34:ER34)</f>
        <v>8858.73475718</v>
      </c>
      <c r="ET34" s="35">
        <v>2653.9624891199996</v>
      </c>
      <c r="EU34" s="35">
        <v>2671.7392559900004</v>
      </c>
      <c r="EV34" s="35">
        <v>2711.31959114</v>
      </c>
      <c r="EW34" s="35">
        <f>+SUM(ET34:EV34)</f>
        <v>8037.02133625</v>
      </c>
      <c r="EX34" s="35">
        <v>2739.9159181500004</v>
      </c>
      <c r="EY34" s="35">
        <v>2906.0277566799987</v>
      </c>
      <c r="EZ34" s="35">
        <v>3051.17346749</v>
      </c>
      <c r="FA34" s="35">
        <f>+SUM(EX34:EZ34)</f>
        <v>8697.11714232</v>
      </c>
      <c r="FB34" s="35">
        <v>3001.8615451400005</v>
      </c>
      <c r="FC34" s="35">
        <v>3149.3339154399996</v>
      </c>
      <c r="FD34" s="35">
        <v>3225.7277206199988</v>
      </c>
      <c r="FE34" s="35">
        <f>+SUM(FB34:FD34)</f>
        <v>9376.9231812</v>
      </c>
      <c r="FF34" s="35">
        <v>3320.94216932</v>
      </c>
      <c r="FG34" s="35">
        <v>3261.0669825999994</v>
      </c>
      <c r="FH34" s="35">
        <v>3161.9719106899993</v>
      </c>
      <c r="FI34" s="35">
        <f>+SUM(FF34:FH34)</f>
        <v>9743.981062609999</v>
      </c>
      <c r="FJ34" s="35">
        <v>3098.074455940001</v>
      </c>
      <c r="FK34" s="35"/>
      <c r="FL34" s="35"/>
      <c r="FM34" s="35">
        <f>+SUM(FJ34:FL34)</f>
        <v>3098.074455940001</v>
      </c>
      <c r="FN34" s="35"/>
      <c r="FO34" s="35"/>
      <c r="FP34" s="35"/>
      <c r="FQ34" s="35">
        <f>+SUM(FN34:FP34)</f>
        <v>0</v>
      </c>
      <c r="FR34" s="35"/>
      <c r="FS34" s="35"/>
      <c r="FT34" s="35"/>
      <c r="FU34" s="35">
        <f>+SUM(FR34:FT34)</f>
        <v>0</v>
      </c>
      <c r="FV34" s="35"/>
      <c r="FW34" s="35"/>
      <c r="FX34" s="35"/>
      <c r="FY34" s="35">
        <f>+SUM(FV34:FX34)</f>
        <v>0</v>
      </c>
      <c r="FZ34" s="33"/>
      <c r="GA34" s="16">
        <f>+AO34+AS34+AW34+BA34</f>
        <v>27282.553609680002</v>
      </c>
      <c r="GB34" s="35">
        <f>+BE34+BI34+BM34+BQ34</f>
        <v>27807.74658017001</v>
      </c>
      <c r="GC34" s="31">
        <f>+BU34+BY34+CC34+CG34</f>
        <v>28601.488740749992</v>
      </c>
      <c r="GD34" s="35">
        <f>+CK34+CO34+CS34+CW34</f>
        <v>30768.57007242</v>
      </c>
      <c r="GE34" s="35">
        <f>+DA34+DE34+DI34+DM34</f>
        <v>32510.100310796668</v>
      </c>
      <c r="GF34" s="35">
        <f>+DQ34+DU34+DY34+EC34</f>
        <v>35545.980741859996</v>
      </c>
      <c r="GG34" s="35">
        <f>+EG34+EK34+EO34+ES34</f>
        <v>35334.05824106999</v>
      </c>
      <c r="GH34" s="35">
        <f>+EW34+FA34+FE34+FI34</f>
        <v>35855.04272238</v>
      </c>
      <c r="GI34" s="35">
        <f>+FM34+FQ34+FU34+FY34</f>
        <v>3098.074455940001</v>
      </c>
      <c r="GJ34" s="33"/>
      <c r="GK34" s="33"/>
      <c r="GL34" s="33"/>
      <c r="GM34" s="33"/>
      <c r="GN34" s="33"/>
      <c r="GO34" s="33"/>
      <c r="GP34" s="33"/>
      <c r="GQ34" s="33"/>
      <c r="GR34" s="33"/>
      <c r="GS34" s="33"/>
      <c r="GT34" s="33"/>
      <c r="GU34" s="33"/>
      <c r="GV34" s="33"/>
      <c r="GW34" s="33"/>
    </row>
    <row r="35" spans="1:205" s="32" customFormat="1" ht="15" customHeight="1" outlineLevel="1">
      <c r="A35" s="21"/>
      <c r="B35" s="1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44"/>
      <c r="AJ35" s="34"/>
      <c r="AK35" s="19"/>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35"/>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76"/>
      <c r="FG35" s="44"/>
      <c r="FH35" s="44"/>
      <c r="FI35" s="44"/>
      <c r="FJ35" s="44"/>
      <c r="FK35" s="44"/>
      <c r="FL35" s="44"/>
      <c r="FM35" s="44"/>
      <c r="FN35" s="44"/>
      <c r="FO35" s="44"/>
      <c r="FP35" s="44"/>
      <c r="FQ35" s="44"/>
      <c r="FR35" s="44"/>
      <c r="FS35" s="44"/>
      <c r="FT35" s="44"/>
      <c r="FU35" s="44"/>
      <c r="FV35" s="76"/>
      <c r="FW35" s="44"/>
      <c r="FX35" s="44"/>
      <c r="FY35" s="44"/>
      <c r="FZ35" s="33"/>
      <c r="GA35" s="35"/>
      <c r="GB35" s="35"/>
      <c r="GC35" s="35"/>
      <c r="GD35" s="35"/>
      <c r="GE35" s="35"/>
      <c r="GF35" s="35"/>
      <c r="GG35" s="35"/>
      <c r="GH35" s="35"/>
      <c r="GI35" s="35"/>
      <c r="GJ35" s="33"/>
      <c r="GK35" s="33"/>
      <c r="GL35" s="33"/>
      <c r="GM35" s="33"/>
      <c r="GN35" s="33"/>
      <c r="GO35" s="33"/>
      <c r="GP35" s="33"/>
      <c r="GQ35" s="33"/>
      <c r="GR35" s="33"/>
      <c r="GS35" s="33"/>
      <c r="GT35" s="33"/>
      <c r="GU35" s="33"/>
      <c r="GV35" s="33"/>
      <c r="GW35" s="33"/>
    </row>
    <row r="36" spans="1:205" ht="15" customHeight="1">
      <c r="A36" s="21"/>
      <c r="B36" s="36" t="s">
        <v>16</v>
      </c>
      <c r="C36" s="35">
        <f aca="true" t="shared" si="74" ref="C36:R36">+FJ36</f>
        <v>328.042522</v>
      </c>
      <c r="D36" s="35">
        <f t="shared" si="74"/>
        <v>0</v>
      </c>
      <c r="E36" s="35">
        <f t="shared" si="74"/>
        <v>0</v>
      </c>
      <c r="F36" s="35">
        <f t="shared" si="74"/>
        <v>328.042522</v>
      </c>
      <c r="G36" s="35">
        <f t="shared" si="74"/>
        <v>0</v>
      </c>
      <c r="H36" s="35">
        <f t="shared" si="74"/>
        <v>0</v>
      </c>
      <c r="I36" s="35">
        <f t="shared" si="74"/>
        <v>0</v>
      </c>
      <c r="J36" s="35">
        <f t="shared" si="74"/>
        <v>0</v>
      </c>
      <c r="K36" s="35">
        <f t="shared" si="74"/>
        <v>0</v>
      </c>
      <c r="L36" s="35">
        <f t="shared" si="74"/>
        <v>0</v>
      </c>
      <c r="M36" s="35">
        <f t="shared" si="74"/>
        <v>0</v>
      </c>
      <c r="N36" s="35">
        <f t="shared" si="74"/>
        <v>0</v>
      </c>
      <c r="O36" s="35">
        <f t="shared" si="74"/>
        <v>0</v>
      </c>
      <c r="P36" s="35">
        <f t="shared" si="74"/>
        <v>0</v>
      </c>
      <c r="Q36" s="35">
        <f t="shared" si="74"/>
        <v>0</v>
      </c>
      <c r="R36" s="35">
        <f t="shared" si="74"/>
        <v>0</v>
      </c>
      <c r="S36" s="35">
        <f aca="true" t="shared" si="75" ref="S36:AH36">+ET36</f>
        <v>289.30099199999995</v>
      </c>
      <c r="T36" s="35">
        <f t="shared" si="75"/>
        <v>301.228904</v>
      </c>
      <c r="U36" s="35">
        <f t="shared" si="75"/>
        <v>335.443977</v>
      </c>
      <c r="V36" s="35">
        <f t="shared" si="75"/>
        <v>925.973873</v>
      </c>
      <c r="W36" s="35">
        <f t="shared" si="75"/>
        <v>318.846316</v>
      </c>
      <c r="X36" s="35">
        <f t="shared" si="75"/>
        <v>330.7885</v>
      </c>
      <c r="Y36" s="35">
        <f t="shared" si="75"/>
        <v>343.393584</v>
      </c>
      <c r="Z36" s="35">
        <f t="shared" si="75"/>
        <v>993.0283999999999</v>
      </c>
      <c r="AA36" s="35">
        <f t="shared" si="75"/>
        <v>375.108788</v>
      </c>
      <c r="AB36" s="35">
        <f t="shared" si="75"/>
        <v>378.80745900000005</v>
      </c>
      <c r="AC36" s="35">
        <f t="shared" si="75"/>
        <v>372.977671</v>
      </c>
      <c r="AD36" s="35">
        <f t="shared" si="75"/>
        <v>1126.8939180000002</v>
      </c>
      <c r="AE36" s="35">
        <f t="shared" si="75"/>
        <v>383.93054699999993</v>
      </c>
      <c r="AF36" s="35">
        <f t="shared" si="75"/>
        <v>386.07771199999996</v>
      </c>
      <c r="AG36" s="35">
        <f t="shared" si="75"/>
        <v>395.206588</v>
      </c>
      <c r="AH36" s="35">
        <f t="shared" si="75"/>
        <v>1165.214847</v>
      </c>
      <c r="AI36" s="35">
        <f>+C36-S36</f>
        <v>38.74153000000007</v>
      </c>
      <c r="AJ36" s="34">
        <f>+(AI36/S36)</f>
        <v>0.13391426601122777</v>
      </c>
      <c r="AK36" s="19"/>
      <c r="AL36" s="35">
        <v>255.26237799999998</v>
      </c>
      <c r="AM36" s="35">
        <v>221.237049</v>
      </c>
      <c r="AN36" s="35">
        <v>288.018652</v>
      </c>
      <c r="AO36" s="35">
        <f>+SUM(AL36:AN36)</f>
        <v>764.518079</v>
      </c>
      <c r="AP36" s="35">
        <v>260.459311</v>
      </c>
      <c r="AQ36" s="35">
        <v>280.90723500000007</v>
      </c>
      <c r="AR36" s="35">
        <v>243.064459</v>
      </c>
      <c r="AS36" s="35">
        <f>+SUM(AP36:AR36)</f>
        <v>784.4310050000001</v>
      </c>
      <c r="AT36" s="35">
        <v>294.241544</v>
      </c>
      <c r="AU36" s="35">
        <v>264.123706</v>
      </c>
      <c r="AV36" s="35">
        <v>274.131984</v>
      </c>
      <c r="AW36" s="35">
        <f>+SUM(AT36:AV36)</f>
        <v>832.497234</v>
      </c>
      <c r="AX36" s="35">
        <v>274.412596</v>
      </c>
      <c r="AY36" s="35">
        <v>223.952594</v>
      </c>
      <c r="AZ36" s="35">
        <v>279.852717</v>
      </c>
      <c r="BA36" s="35">
        <f>+SUM(AX36:AZ36)</f>
        <v>778.217907</v>
      </c>
      <c r="BB36" s="35">
        <v>239.403258</v>
      </c>
      <c r="BC36" s="35">
        <v>255.97787599999998</v>
      </c>
      <c r="BD36" s="35">
        <v>267.78096600000003</v>
      </c>
      <c r="BE36" s="35">
        <f>+SUM(BB36:BD36)</f>
        <v>763.1621</v>
      </c>
      <c r="BF36" s="35">
        <v>234.236827</v>
      </c>
      <c r="BG36" s="35">
        <v>262.487456</v>
      </c>
      <c r="BH36" s="35">
        <v>266.77337299999994</v>
      </c>
      <c r="BI36" s="35">
        <f>+SUM(BF36:BH36)</f>
        <v>763.497656</v>
      </c>
      <c r="BJ36" s="35">
        <v>296.561325</v>
      </c>
      <c r="BK36" s="35">
        <v>282.5524909999999</v>
      </c>
      <c r="BL36" s="35">
        <v>280.321214</v>
      </c>
      <c r="BM36" s="35">
        <f>+SUM(BJ36:BL36)</f>
        <v>859.4350299999999</v>
      </c>
      <c r="BN36" s="35">
        <v>284.584535</v>
      </c>
      <c r="BO36" s="35">
        <v>285.21072200000003</v>
      </c>
      <c r="BP36" s="35">
        <v>285.539035</v>
      </c>
      <c r="BQ36" s="35">
        <f>+SUM(BN36:BP36)</f>
        <v>855.334292</v>
      </c>
      <c r="BR36" s="35">
        <v>238.04896800000003</v>
      </c>
      <c r="BS36" s="35">
        <v>264.134446</v>
      </c>
      <c r="BT36" s="35">
        <v>275.55258000000003</v>
      </c>
      <c r="BU36" s="35">
        <f>+SUM(BR36:BT36)</f>
        <v>777.7359940000001</v>
      </c>
      <c r="BV36" s="35">
        <f>274.990301-5.927355</f>
        <v>269.062946</v>
      </c>
      <c r="BW36" s="35">
        <v>274.993593</v>
      </c>
      <c r="BX36" s="35">
        <v>257.328513</v>
      </c>
      <c r="BY36" s="35">
        <f>+SUM(BV36:BX36)</f>
        <v>801.3850519999999</v>
      </c>
      <c r="BZ36" s="35">
        <v>301.652605</v>
      </c>
      <c r="CA36" s="35">
        <v>307.875698</v>
      </c>
      <c r="CB36" s="35">
        <v>295.620741</v>
      </c>
      <c r="CC36" s="35">
        <f>+SUM(BZ36:CB36)</f>
        <v>905.149044</v>
      </c>
      <c r="CD36" s="35">
        <v>300.214399</v>
      </c>
      <c r="CE36" s="35">
        <v>294.691141</v>
      </c>
      <c r="CF36" s="35">
        <v>307.224356</v>
      </c>
      <c r="CG36" s="35">
        <f>+SUM(CD36:CF36)</f>
        <v>902.1298959999999</v>
      </c>
      <c r="CH36" s="35">
        <v>252.578661</v>
      </c>
      <c r="CI36" s="35">
        <v>258.811184</v>
      </c>
      <c r="CJ36" s="35">
        <v>292.968308</v>
      </c>
      <c r="CK36" s="35">
        <f>+SUM(CH36:CJ36)</f>
        <v>804.358153</v>
      </c>
      <c r="CL36" s="35">
        <v>273.531427</v>
      </c>
      <c r="CM36" s="35">
        <v>288.81981</v>
      </c>
      <c r="CN36" s="35">
        <v>291.480952</v>
      </c>
      <c r="CO36" s="35">
        <f>+SUM(CL36:CN36)</f>
        <v>853.8321890000001</v>
      </c>
      <c r="CP36" s="35">
        <v>306.159557</v>
      </c>
      <c r="CQ36" s="35">
        <v>322.18077400000004</v>
      </c>
      <c r="CR36" s="35">
        <v>317.853334</v>
      </c>
      <c r="CS36" s="35">
        <f>+SUM(CP36:CR36)</f>
        <v>946.1936650000001</v>
      </c>
      <c r="CT36" s="35">
        <v>318.674895</v>
      </c>
      <c r="CU36" s="35">
        <v>314.048321</v>
      </c>
      <c r="CV36" s="35">
        <v>306.953726</v>
      </c>
      <c r="CW36" s="35">
        <f>+SUM(CT36:CV36)</f>
        <v>939.676942</v>
      </c>
      <c r="CX36" s="35">
        <v>255.637</v>
      </c>
      <c r="CY36" s="35">
        <v>263.336111</v>
      </c>
      <c r="CZ36" s="35">
        <v>299.47698</v>
      </c>
      <c r="DA36" s="35">
        <f>+SUM(CX36:CZ36)</f>
        <v>818.450091</v>
      </c>
      <c r="DB36" s="35">
        <v>266.724035</v>
      </c>
      <c r="DC36" s="35">
        <v>306.509309</v>
      </c>
      <c r="DD36" s="35">
        <v>320.456256</v>
      </c>
      <c r="DE36" s="35">
        <f>+SUM(DB36:DD36)</f>
        <v>893.6895999999999</v>
      </c>
      <c r="DF36" s="35">
        <v>336.588772</v>
      </c>
      <c r="DG36" s="35">
        <v>341.463272</v>
      </c>
      <c r="DH36" s="35">
        <v>323.025899</v>
      </c>
      <c r="DI36" s="35">
        <f>+SUM(DF36:DH36)</f>
        <v>1001.077943</v>
      </c>
      <c r="DJ36" s="35">
        <v>354.535526</v>
      </c>
      <c r="DK36" s="35">
        <v>316.585698</v>
      </c>
      <c r="DL36" s="35">
        <v>314.952434</v>
      </c>
      <c r="DM36" s="35">
        <f>+SUM(DJ36:DL36)</f>
        <v>986.073658</v>
      </c>
      <c r="DN36" s="35">
        <v>291.541168</v>
      </c>
      <c r="DO36" s="35">
        <v>283.380725</v>
      </c>
      <c r="DP36" s="35">
        <v>321.612954</v>
      </c>
      <c r="DQ36" s="35">
        <f>+SUM(DN36:DP36)</f>
        <v>896.5348469999999</v>
      </c>
      <c r="DR36" s="35">
        <v>305.682052</v>
      </c>
      <c r="DS36" s="35">
        <v>345.732003</v>
      </c>
      <c r="DT36" s="35">
        <v>343.243806</v>
      </c>
      <c r="DU36" s="35">
        <f>+SUM(DR36:DT36)</f>
        <v>994.6578609999999</v>
      </c>
      <c r="DV36" s="35">
        <v>370.732554</v>
      </c>
      <c r="DW36" s="35">
        <v>371.138236</v>
      </c>
      <c r="DX36" s="35">
        <v>350.164687</v>
      </c>
      <c r="DY36" s="35">
        <f>+SUM(DV36:DX36)</f>
        <v>1092.035477</v>
      </c>
      <c r="DZ36" s="35">
        <v>389.000709</v>
      </c>
      <c r="EA36" s="35">
        <v>342.079658</v>
      </c>
      <c r="EB36" s="35">
        <v>353.51496</v>
      </c>
      <c r="EC36" s="35">
        <f>+SUM(DZ36:EB36)</f>
        <v>1084.595327</v>
      </c>
      <c r="ED36" s="35">
        <v>340.352133</v>
      </c>
      <c r="EE36" s="35">
        <v>349.429228</v>
      </c>
      <c r="EF36" s="35">
        <v>295.74991</v>
      </c>
      <c r="EG36" s="35">
        <f>+SUM(ED36:EF36)</f>
        <v>985.5312710000001</v>
      </c>
      <c r="EH36" s="35">
        <v>256.976354</v>
      </c>
      <c r="EI36" s="35">
        <v>270.549909</v>
      </c>
      <c r="EJ36" s="35">
        <v>294.481287</v>
      </c>
      <c r="EK36" s="35">
        <f>+SUM(EH36:EJ36)</f>
        <v>822.00755</v>
      </c>
      <c r="EL36" s="35">
        <v>347.546212</v>
      </c>
      <c r="EM36" s="35">
        <v>359.951707</v>
      </c>
      <c r="EN36" s="35">
        <v>354.382868</v>
      </c>
      <c r="EO36" s="35">
        <f>+SUM(EL36:EN36)</f>
        <v>1061.880787</v>
      </c>
      <c r="EP36" s="35">
        <v>394.236536</v>
      </c>
      <c r="EQ36" s="35">
        <v>353.508131</v>
      </c>
      <c r="ER36" s="35">
        <v>355.662225</v>
      </c>
      <c r="ES36" s="35">
        <f>+SUM(EP36:ER36)</f>
        <v>1103.406892</v>
      </c>
      <c r="ET36" s="35">
        <v>289.30099199999995</v>
      </c>
      <c r="EU36" s="35">
        <v>301.228904</v>
      </c>
      <c r="EV36" s="35">
        <v>335.443977</v>
      </c>
      <c r="EW36" s="35">
        <f>+SUM(ET36:EV36)</f>
        <v>925.973873</v>
      </c>
      <c r="EX36" s="35">
        <v>318.846316</v>
      </c>
      <c r="EY36" s="35">
        <v>330.7885</v>
      </c>
      <c r="EZ36" s="35">
        <v>343.393584</v>
      </c>
      <c r="FA36" s="35">
        <f>+SUM(EX36:EZ36)</f>
        <v>993.0283999999999</v>
      </c>
      <c r="FB36" s="35">
        <v>375.108788</v>
      </c>
      <c r="FC36" s="35">
        <v>378.80745900000005</v>
      </c>
      <c r="FD36" s="35">
        <v>372.977671</v>
      </c>
      <c r="FE36" s="35">
        <f>+SUM(FB36:FD36)</f>
        <v>1126.8939180000002</v>
      </c>
      <c r="FF36" s="35">
        <v>383.93054699999993</v>
      </c>
      <c r="FG36" s="35">
        <v>386.07771199999996</v>
      </c>
      <c r="FH36" s="35">
        <v>395.206588</v>
      </c>
      <c r="FI36" s="35">
        <f>+SUM(FF36:FH36)</f>
        <v>1165.214847</v>
      </c>
      <c r="FJ36" s="35">
        <v>328.042522</v>
      </c>
      <c r="FK36" s="35"/>
      <c r="FL36" s="35"/>
      <c r="FM36" s="35">
        <f>+SUM(FJ36:FL36)</f>
        <v>328.042522</v>
      </c>
      <c r="FN36" s="35"/>
      <c r="FO36" s="35"/>
      <c r="FP36" s="35"/>
      <c r="FQ36" s="35">
        <f>+SUM(FN36:FP36)</f>
        <v>0</v>
      </c>
      <c r="FR36" s="35"/>
      <c r="FS36" s="35"/>
      <c r="FT36" s="35"/>
      <c r="FU36" s="35">
        <f>+SUM(FR36:FT36)</f>
        <v>0</v>
      </c>
      <c r="FV36" s="35"/>
      <c r="FW36" s="35"/>
      <c r="FX36" s="35"/>
      <c r="FY36" s="35">
        <f>+SUM(FV36:FX36)</f>
        <v>0</v>
      </c>
      <c r="FZ36" s="33"/>
      <c r="GA36" s="16">
        <f>+AO36+AS36+AW36+BA36</f>
        <v>3159.6642250000004</v>
      </c>
      <c r="GB36" s="16">
        <f>+BE36+BI36+BM36+BQ36</f>
        <v>3241.4290779999997</v>
      </c>
      <c r="GC36" s="28">
        <f>+BU36+BY36+CC36+CG36</f>
        <v>3386.399986</v>
      </c>
      <c r="GD36" s="35">
        <f>+CK36+CO36+CS36+CW36</f>
        <v>3544.060949</v>
      </c>
      <c r="GE36" s="35">
        <f>+DA36+DE36+DI36+DM36</f>
        <v>3699.291292</v>
      </c>
      <c r="GF36" s="35">
        <f>+DQ36+DU36+DY36+EC36</f>
        <v>4067.823512</v>
      </c>
      <c r="GG36" s="35">
        <f>+EG36+EK36+EO36+ES36</f>
        <v>3972.8265</v>
      </c>
      <c r="GH36" s="35">
        <f>+EW36+FA36+FE36+FI36</f>
        <v>4211.111038</v>
      </c>
      <c r="GI36" s="35">
        <f>+FM36+FQ36+FU36+FY36</f>
        <v>328.042522</v>
      </c>
      <c r="GJ36" s="33"/>
      <c r="GK36" s="33"/>
      <c r="GL36" s="33"/>
      <c r="GM36" s="33"/>
      <c r="GN36" s="33"/>
      <c r="GO36" s="33"/>
      <c r="GP36" s="33"/>
      <c r="GQ36" s="33"/>
      <c r="GR36" s="33"/>
      <c r="GS36" s="33"/>
      <c r="GT36" s="33"/>
      <c r="GU36" s="33"/>
      <c r="GV36" s="33"/>
      <c r="GW36" s="33"/>
    </row>
    <row r="37" spans="1:205" s="32" customFormat="1" ht="15" customHeight="1" outlineLevel="1">
      <c r="A37" s="21"/>
      <c r="B37" s="1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4"/>
      <c r="AK37" s="19"/>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44"/>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3"/>
      <c r="GA37" s="35"/>
      <c r="GB37" s="35"/>
      <c r="GC37" s="35"/>
      <c r="GD37" s="35"/>
      <c r="GE37" s="35"/>
      <c r="GF37" s="35"/>
      <c r="GG37" s="35"/>
      <c r="GH37" s="35"/>
      <c r="GI37" s="35"/>
      <c r="GJ37" s="33"/>
      <c r="GK37" s="33"/>
      <c r="GL37" s="33"/>
      <c r="GM37" s="33"/>
      <c r="GN37" s="33"/>
      <c r="GO37" s="33"/>
      <c r="GP37" s="33"/>
      <c r="GQ37" s="33"/>
      <c r="GR37" s="33"/>
      <c r="GS37" s="33"/>
      <c r="GT37" s="33"/>
      <c r="GU37" s="33"/>
      <c r="GV37" s="33"/>
      <c r="GW37" s="33"/>
    </row>
    <row r="38" spans="1:205" ht="15" customHeight="1">
      <c r="A38" s="21"/>
      <c r="B38" s="36" t="s">
        <v>35</v>
      </c>
      <c r="C38" s="35">
        <f aca="true" t="shared" si="76" ref="C38:R38">+FJ38</f>
        <v>49.194562394220554</v>
      </c>
      <c r="D38" s="35">
        <f t="shared" si="76"/>
        <v>0</v>
      </c>
      <c r="E38" s="35">
        <f t="shared" si="76"/>
        <v>0</v>
      </c>
      <c r="F38" s="35">
        <f t="shared" si="76"/>
        <v>49.194562394220554</v>
      </c>
      <c r="G38" s="35">
        <f t="shared" si="76"/>
        <v>0</v>
      </c>
      <c r="H38" s="35">
        <f t="shared" si="76"/>
        <v>0</v>
      </c>
      <c r="I38" s="35">
        <f t="shared" si="76"/>
        <v>0</v>
      </c>
      <c r="J38" s="35">
        <f t="shared" si="76"/>
        <v>0</v>
      </c>
      <c r="K38" s="35">
        <f t="shared" si="76"/>
        <v>0</v>
      </c>
      <c r="L38" s="35">
        <f t="shared" si="76"/>
        <v>0</v>
      </c>
      <c r="M38" s="35">
        <f t="shared" si="76"/>
        <v>0</v>
      </c>
      <c r="N38" s="35">
        <f t="shared" si="76"/>
        <v>0</v>
      </c>
      <c r="O38" s="35">
        <f t="shared" si="76"/>
        <v>0</v>
      </c>
      <c r="P38" s="35">
        <f t="shared" si="76"/>
        <v>0</v>
      </c>
      <c r="Q38" s="35">
        <f t="shared" si="76"/>
        <v>0</v>
      </c>
      <c r="R38" s="35">
        <f t="shared" si="76"/>
        <v>0</v>
      </c>
      <c r="S38" s="35">
        <f aca="true" t="shared" si="77" ref="S38:AH38">+ET38</f>
        <v>39.983413821100555</v>
      </c>
      <c r="T38" s="35">
        <f t="shared" si="77"/>
        <v>42.473617625067135</v>
      </c>
      <c r="U38" s="35">
        <f t="shared" si="77"/>
        <v>48.31106563206027</v>
      </c>
      <c r="V38" s="35">
        <f t="shared" si="77"/>
        <v>130.76809707822795</v>
      </c>
      <c r="W38" s="35">
        <f t="shared" si="77"/>
        <v>46.022402297864154</v>
      </c>
      <c r="X38" s="35">
        <f t="shared" si="77"/>
        <v>48.3282409119028</v>
      </c>
      <c r="Y38" s="35">
        <f t="shared" si="77"/>
        <v>50.094607728206874</v>
      </c>
      <c r="Z38" s="35">
        <f t="shared" si="77"/>
        <v>144.44525093797384</v>
      </c>
      <c r="AA38" s="35">
        <f t="shared" si="77"/>
        <v>53.61999727479037</v>
      </c>
      <c r="AB38" s="35">
        <f t="shared" si="77"/>
        <v>53.97018785851761</v>
      </c>
      <c r="AC38" s="35">
        <f t="shared" si="77"/>
        <v>54.463212641519405</v>
      </c>
      <c r="AD38" s="35">
        <f t="shared" si="77"/>
        <v>162.05339777482737</v>
      </c>
      <c r="AE38" s="35">
        <f t="shared" si="77"/>
        <v>56.78750504528958</v>
      </c>
      <c r="AF38" s="35">
        <f t="shared" si="77"/>
        <v>57.59300362930522</v>
      </c>
      <c r="AG38" s="35">
        <f t="shared" si="77"/>
        <v>58.87346823308567</v>
      </c>
      <c r="AH38" s="35">
        <f t="shared" si="77"/>
        <v>173.25397690768048</v>
      </c>
      <c r="AI38" s="35">
        <f>+C38-S38</f>
        <v>9.21114857312</v>
      </c>
      <c r="AJ38" s="34">
        <f>+(AI38/S38)</f>
        <v>0.2303742400369769</v>
      </c>
      <c r="AK38" s="19"/>
      <c r="AL38" s="35">
        <f>+AL40/AL83</f>
        <v>49.65204892806941</v>
      </c>
      <c r="AM38" s="35">
        <f>+AM40/AM83</f>
        <v>43.74087477148885</v>
      </c>
      <c r="AN38" s="35">
        <f>+AN40/AN83</f>
        <v>48.13159446168227</v>
      </c>
      <c r="AO38" s="35">
        <f>+SUM(AL38:AN38)</f>
        <v>141.5245181612405</v>
      </c>
      <c r="AP38" s="35">
        <f>+AP40/AP83</f>
        <v>47.161789382829205</v>
      </c>
      <c r="AQ38" s="35">
        <f>+AQ40/AQ83</f>
        <v>54.373003151583575</v>
      </c>
      <c r="AR38" s="35">
        <f>+AR40/AR83</f>
        <v>47.326243289153226</v>
      </c>
      <c r="AS38" s="35">
        <f>+SUM(AP38:AR38)</f>
        <v>148.861035823566</v>
      </c>
      <c r="AT38" s="35">
        <f>+AT40/AT83</f>
        <v>57.253065511796926</v>
      </c>
      <c r="AU38" s="35">
        <f>+AU40/AU83</f>
        <v>53.31962071712965</v>
      </c>
      <c r="AV38" s="35">
        <f>+AV40/AV83</f>
        <v>53.8361031832774</v>
      </c>
      <c r="AW38" s="35">
        <f>+SUM(AT38:AV38)</f>
        <v>164.408789412204</v>
      </c>
      <c r="AX38" s="35">
        <f>+AX40/AX83</f>
        <v>53.15851061981166</v>
      </c>
      <c r="AY38" s="35">
        <f>+AY40/AY83</f>
        <v>43.68817091244332</v>
      </c>
      <c r="AZ38" s="35">
        <f>+AZ40/AZ83</f>
        <v>52.85206403807441</v>
      </c>
      <c r="BA38" s="35">
        <f>+SUM(AX38:AZ38)</f>
        <v>149.69874557032938</v>
      </c>
      <c r="BB38" s="35">
        <f>+BB40/BB83</f>
        <v>44.93623658829409</v>
      </c>
      <c r="BC38" s="35">
        <f>+BC40/BC83</f>
        <v>48.051338785518375</v>
      </c>
      <c r="BD38" s="35">
        <f>+BD40/BD83</f>
        <v>48.687811943493536</v>
      </c>
      <c r="BE38" s="35">
        <f>+SUM(BB38:BD38)</f>
        <v>141.675387317306</v>
      </c>
      <c r="BF38" s="35">
        <f>+BF40/BF83</f>
        <v>43.60017841133722</v>
      </c>
      <c r="BG38" s="35">
        <f>+BG40/BG83</f>
        <v>47.286665964413324</v>
      </c>
      <c r="BH38" s="35">
        <f>+BH40/BH83</f>
        <v>49.69162316449536</v>
      </c>
      <c r="BI38" s="35">
        <f>+SUM(BF38:BH38)</f>
        <v>140.5784675402459</v>
      </c>
      <c r="BJ38" s="35">
        <f>+BJ40/BJ83</f>
        <v>54.35437364335222</v>
      </c>
      <c r="BK38" s="35">
        <f>+BK40/BK83</f>
        <v>51.914204818965224</v>
      </c>
      <c r="BL38" s="35">
        <f>+BL40/BL83</f>
        <v>51.353194191785214</v>
      </c>
      <c r="BM38" s="35">
        <f>+SUM(BJ38:BL38)</f>
        <v>157.62177265410264</v>
      </c>
      <c r="BN38" s="35">
        <f>+BN40/BN83</f>
        <v>50.98777622529718</v>
      </c>
      <c r="BO38" s="35">
        <f>+BO40/BO83</f>
        <v>51.418929577864695</v>
      </c>
      <c r="BP38" s="35">
        <f>+BP40/BP83</f>
        <v>50.714472977989224</v>
      </c>
      <c r="BQ38" s="35">
        <f>+SUM(BN38:BP38)</f>
        <v>153.12117878115112</v>
      </c>
      <c r="BR38" s="35">
        <f>+BR40/BR83</f>
        <v>41.79462418043029</v>
      </c>
      <c r="BS38" s="35">
        <f>+BS40/BS83</f>
        <v>45.685205670589674</v>
      </c>
      <c r="BT38" s="35">
        <f>+BT40/BT83</f>
        <v>47.2952620248246</v>
      </c>
      <c r="BU38" s="35">
        <f>+SUM(BR38:BT38)</f>
        <v>134.77509187584457</v>
      </c>
      <c r="BV38" s="35">
        <f>+BV40/BV83</f>
        <v>46.00664550579564</v>
      </c>
      <c r="BW38" s="35">
        <f>+BW40/BW83</f>
        <v>47.79903200627437</v>
      </c>
      <c r="BX38" s="35">
        <f>+BX40/BX83</f>
        <v>44.791509221013676</v>
      </c>
      <c r="BY38" s="35">
        <f>+SUM(BV38:BX38)</f>
        <v>138.5971867330837</v>
      </c>
      <c r="BZ38" s="35">
        <f>+BZ40/BZ83</f>
        <v>53.97639569622455</v>
      </c>
      <c r="CA38" s="35">
        <f>+CA40/CA83</f>
        <v>54.95079726079802</v>
      </c>
      <c r="CB38" s="35">
        <f>+CB40/CB83</f>
        <v>52.99520446457577</v>
      </c>
      <c r="CC38" s="35">
        <f>+SUM(BZ38:CB38)</f>
        <v>161.92239742159833</v>
      </c>
      <c r="CD38" s="35">
        <f>+CD40/CD83</f>
        <v>52.53946127062198</v>
      </c>
      <c r="CE38" s="35">
        <f>+CE40/CE83</f>
        <v>53.21701237816408</v>
      </c>
      <c r="CF38" s="35">
        <f>+CF40/CF83</f>
        <v>53.7267752078776</v>
      </c>
      <c r="CG38" s="35">
        <f>+SUM(CD38:CF38)</f>
        <v>159.48324885666366</v>
      </c>
      <c r="CH38" s="35">
        <f>+CH40/CH83</f>
        <v>43.24992844613976</v>
      </c>
      <c r="CI38" s="35">
        <f>+CI40/CI83</f>
        <v>45.582883103430476</v>
      </c>
      <c r="CJ38" s="35">
        <f>+CJ40/CJ83</f>
        <v>50.64854169266145</v>
      </c>
      <c r="CK38" s="35">
        <f>+SUM(CH38:CJ38)</f>
        <v>139.4813532422317</v>
      </c>
      <c r="CL38" s="35">
        <f>+CL40/CL83</f>
        <v>47.308823813275836</v>
      </c>
      <c r="CM38" s="35">
        <v>50.24630139375468</v>
      </c>
      <c r="CN38" s="35">
        <v>51.05090580238545</v>
      </c>
      <c r="CO38" s="35">
        <f>+SUM(CL38:CN38)</f>
        <v>148.60603100941597</v>
      </c>
      <c r="CP38" s="35">
        <v>54.35051469282147</v>
      </c>
      <c r="CQ38" s="35">
        <v>56.31272375608589</v>
      </c>
      <c r="CR38" s="35">
        <v>56.4896277152844</v>
      </c>
      <c r="CS38" s="35">
        <f>+SUM(CP38:CR38)</f>
        <v>167.15286616419175</v>
      </c>
      <c r="CT38" s="35">
        <v>57.967334928519755</v>
      </c>
      <c r="CU38" s="35">
        <v>54.62894895725223</v>
      </c>
      <c r="CV38" s="35">
        <v>53.25661032011747</v>
      </c>
      <c r="CW38" s="35">
        <f>+SUM(CT38:CV38)</f>
        <v>165.85289420588944</v>
      </c>
      <c r="CX38" s="35">
        <v>43.924255602822555</v>
      </c>
      <c r="CY38" s="35">
        <v>45.8779574281227</v>
      </c>
      <c r="CZ38" s="35">
        <v>49.68942355188603</v>
      </c>
      <c r="DA38" s="35">
        <f>+SUM(CX38:CZ38)</f>
        <v>139.4916365828313</v>
      </c>
      <c r="DB38" s="35">
        <v>44.53676993704011</v>
      </c>
      <c r="DC38" s="35">
        <v>52.13510049815998</v>
      </c>
      <c r="DD38" s="35">
        <v>55.305084646906586</v>
      </c>
      <c r="DE38" s="35">
        <f>+SUM(DB38:DD38)</f>
        <v>151.97695508210668</v>
      </c>
      <c r="DF38" s="35">
        <v>57.4875695436642</v>
      </c>
      <c r="DG38" s="35">
        <v>58.792907239842684</v>
      </c>
      <c r="DH38" s="35">
        <v>55.50762016426875</v>
      </c>
      <c r="DI38" s="35">
        <f>+SUM(DF38:DH38)</f>
        <v>171.78809694777564</v>
      </c>
      <c r="DJ38" s="35">
        <v>59.7895413408168</v>
      </c>
      <c r="DK38" s="35">
        <v>53.37188699496384</v>
      </c>
      <c r="DL38" s="35">
        <v>52.342718227843065</v>
      </c>
      <c r="DM38" s="35">
        <f>+SUM(DJ38:DL38)</f>
        <v>165.5041465636237</v>
      </c>
      <c r="DN38" s="35">
        <v>47.62731300636611</v>
      </c>
      <c r="DO38" s="35">
        <v>47.32611620508736</v>
      </c>
      <c r="DP38" s="35">
        <v>52.52073604243499</v>
      </c>
      <c r="DQ38" s="35">
        <f>+SUM(DN38:DP38)</f>
        <v>147.47416525388846</v>
      </c>
      <c r="DR38" s="35">
        <v>49.51130980652419</v>
      </c>
      <c r="DS38" s="35">
        <v>56.41996629625015</v>
      </c>
      <c r="DT38" s="35">
        <v>57.33635195629475</v>
      </c>
      <c r="DU38" s="35">
        <f>+SUM(DR38:DT38)</f>
        <v>163.2676280590691</v>
      </c>
      <c r="DV38" s="35">
        <v>59.938589024566674</v>
      </c>
      <c r="DW38" s="35">
        <v>60.20246850452168</v>
      </c>
      <c r="DX38" s="35">
        <v>56.5817259622104</v>
      </c>
      <c r="DY38" s="35">
        <f>+SUM(DV38:DX38)</f>
        <v>176.72278349129874</v>
      </c>
      <c r="DZ38" s="35">
        <v>60.941051416720065</v>
      </c>
      <c r="EA38" s="35">
        <v>54.670156705523645</v>
      </c>
      <c r="EB38" s="35">
        <v>54.25438091653403</v>
      </c>
      <c r="EC38" s="35">
        <f>+SUM(DZ38:EB38)</f>
        <v>169.86558903877773</v>
      </c>
      <c r="ED38" s="35">
        <v>52.55178855722048</v>
      </c>
      <c r="EE38" s="35">
        <v>50.87511119013982</v>
      </c>
      <c r="EF38" s="35">
        <v>44.64935981979534</v>
      </c>
      <c r="EG38" s="35">
        <f>+SUM(ED38:EF38)</f>
        <v>148.07625956715563</v>
      </c>
      <c r="EH38" s="35">
        <v>39.86827749248642</v>
      </c>
      <c r="EI38" s="35">
        <v>41.490184068284975</v>
      </c>
      <c r="EJ38" s="35">
        <v>43.729353081972484</v>
      </c>
      <c r="EK38" s="35">
        <f>+SUM(EH38:EJ38)</f>
        <v>125.08781464274387</v>
      </c>
      <c r="EL38" s="35">
        <v>51.76789562294757</v>
      </c>
      <c r="EM38" s="35">
        <v>53.47702427658093</v>
      </c>
      <c r="EN38" s="35">
        <v>51.15141056465213</v>
      </c>
      <c r="EO38" s="35">
        <f>+SUM(EL38:EN38)</f>
        <v>156.39633046418064</v>
      </c>
      <c r="EP38" s="35">
        <v>57.25452846656796</v>
      </c>
      <c r="EQ38" s="35">
        <v>50.085776061805795</v>
      </c>
      <c r="ER38" s="35">
        <v>49.62656217105602</v>
      </c>
      <c r="ES38" s="35">
        <f>+SUM(EP38:ER38)</f>
        <v>156.96686669942977</v>
      </c>
      <c r="ET38" s="35">
        <v>39.983413821100555</v>
      </c>
      <c r="EU38" s="35">
        <v>42.473617625067135</v>
      </c>
      <c r="EV38" s="35">
        <v>48.31106563206027</v>
      </c>
      <c r="EW38" s="35">
        <f>+SUM(ET38:EV38)</f>
        <v>130.76809707822795</v>
      </c>
      <c r="EX38" s="35">
        <v>46.022402297864154</v>
      </c>
      <c r="EY38" s="35">
        <v>48.3282409119028</v>
      </c>
      <c r="EZ38" s="35">
        <v>50.094607728206874</v>
      </c>
      <c r="FA38" s="35">
        <f>+SUM(EX38:EZ38)</f>
        <v>144.44525093797384</v>
      </c>
      <c r="FB38" s="35">
        <v>53.61999727479037</v>
      </c>
      <c r="FC38" s="75">
        <v>53.97018785851761</v>
      </c>
      <c r="FD38" s="35">
        <v>54.463212641519405</v>
      </c>
      <c r="FE38" s="35">
        <f>+SUM(FB38:FD38)</f>
        <v>162.05339777482737</v>
      </c>
      <c r="FF38" s="35">
        <v>56.78750504528958</v>
      </c>
      <c r="FG38" s="35">
        <v>57.59300362930522</v>
      </c>
      <c r="FH38" s="35">
        <v>58.87346823308567</v>
      </c>
      <c r="FI38" s="35">
        <f>+SUM(FF38:FH38)</f>
        <v>173.25397690768048</v>
      </c>
      <c r="FJ38" s="35">
        <v>49.194562394220554</v>
      </c>
      <c r="FK38" s="35"/>
      <c r="FL38" s="35"/>
      <c r="FM38" s="35">
        <f>+SUM(FJ38:FL38)</f>
        <v>49.194562394220554</v>
      </c>
      <c r="FN38" s="35"/>
      <c r="FO38" s="35"/>
      <c r="FP38" s="35"/>
      <c r="FQ38" s="35">
        <f>+SUM(FN38:FP38)</f>
        <v>0</v>
      </c>
      <c r="FR38" s="35"/>
      <c r="FS38" s="75"/>
      <c r="FT38" s="35"/>
      <c r="FU38" s="35">
        <f>+SUM(FR38:FT38)</f>
        <v>0</v>
      </c>
      <c r="FV38" s="35"/>
      <c r="FW38" s="35"/>
      <c r="FX38" s="35"/>
      <c r="FY38" s="35">
        <f>+SUM(FV38:FX38)</f>
        <v>0</v>
      </c>
      <c r="FZ38" s="33"/>
      <c r="GA38" s="16">
        <f>+AO38+AS38+AW38+BA38</f>
        <v>604.4930889673399</v>
      </c>
      <c r="GB38" s="16">
        <f>+BE38+BI38+BM38+BQ38</f>
        <v>592.9968062928057</v>
      </c>
      <c r="GC38" s="28">
        <f>+BU38+BY38+CC38+CG38</f>
        <v>594.7779248871902</v>
      </c>
      <c r="GD38" s="35">
        <f>+CK38+CO38+CS38+CW38</f>
        <v>621.0931446217289</v>
      </c>
      <c r="GE38" s="35">
        <f>+DA38+DE38+DI38+DM38</f>
        <v>628.7608351763374</v>
      </c>
      <c r="GF38" s="35">
        <f>+DQ38+DU38+DY38+EC38</f>
        <v>657.330165843034</v>
      </c>
      <c r="GG38" s="35">
        <f>+EG38+EK38+EO38+ES38</f>
        <v>586.5272713735098</v>
      </c>
      <c r="GH38" s="35">
        <f>+EW38+FA38+FE38+FI38</f>
        <v>610.5207226987096</v>
      </c>
      <c r="GI38" s="35">
        <f>+FM38+FQ38+FU38+FY38</f>
        <v>49.194562394220554</v>
      </c>
      <c r="GJ38" s="33"/>
      <c r="GK38" s="33"/>
      <c r="GL38" s="33"/>
      <c r="GM38" s="33"/>
      <c r="GN38" s="33"/>
      <c r="GO38" s="33"/>
      <c r="GP38" s="33"/>
      <c r="GQ38" s="33"/>
      <c r="GR38" s="33"/>
      <c r="GS38" s="33"/>
      <c r="GT38" s="33"/>
      <c r="GU38" s="33"/>
      <c r="GV38" s="33"/>
      <c r="GW38" s="33"/>
    </row>
    <row r="39" spans="1:205" s="32" customFormat="1" ht="15" customHeight="1" outlineLevel="1">
      <c r="A39" s="21"/>
      <c r="B39" s="1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4"/>
      <c r="AK39" s="19"/>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3"/>
      <c r="GA39" s="35"/>
      <c r="GB39" s="35"/>
      <c r="GC39" s="35"/>
      <c r="GD39" s="35"/>
      <c r="GE39" s="35"/>
      <c r="GF39" s="35"/>
      <c r="GG39" s="35"/>
      <c r="GH39" s="35"/>
      <c r="GI39" s="35"/>
      <c r="GJ39" s="33"/>
      <c r="GK39" s="33"/>
      <c r="GL39" s="33"/>
      <c r="GM39" s="33"/>
      <c r="GN39" s="33"/>
      <c r="GO39" s="33"/>
      <c r="GP39" s="33"/>
      <c r="GQ39" s="33"/>
      <c r="GR39" s="33"/>
      <c r="GS39" s="33"/>
      <c r="GT39" s="33"/>
      <c r="GU39" s="33"/>
      <c r="GV39" s="33"/>
      <c r="GW39" s="33"/>
    </row>
    <row r="40" spans="1:205" ht="15" customHeight="1">
      <c r="A40" s="21"/>
      <c r="B40" s="36" t="s">
        <v>36</v>
      </c>
      <c r="C40" s="35">
        <f aca="true" t="shared" si="78" ref="C40:R40">+FJ40</f>
        <v>2845.0494491199997</v>
      </c>
      <c r="D40" s="35">
        <f t="shared" si="78"/>
        <v>0</v>
      </c>
      <c r="E40" s="35">
        <f t="shared" si="78"/>
        <v>0</v>
      </c>
      <c r="F40" s="35">
        <f t="shared" si="78"/>
        <v>2845.0494491199997</v>
      </c>
      <c r="G40" s="35">
        <f t="shared" si="78"/>
        <v>0</v>
      </c>
      <c r="H40" s="35">
        <f t="shared" si="78"/>
        <v>0</v>
      </c>
      <c r="I40" s="35">
        <f t="shared" si="78"/>
        <v>0</v>
      </c>
      <c r="J40" s="35">
        <f t="shared" si="78"/>
        <v>0</v>
      </c>
      <c r="K40" s="35">
        <f t="shared" si="78"/>
        <v>0</v>
      </c>
      <c r="L40" s="35">
        <f t="shared" si="78"/>
        <v>0</v>
      </c>
      <c r="M40" s="35">
        <f t="shared" si="78"/>
        <v>0</v>
      </c>
      <c r="N40" s="35">
        <f t="shared" si="78"/>
        <v>0</v>
      </c>
      <c r="O40" s="35">
        <f t="shared" si="78"/>
        <v>0</v>
      </c>
      <c r="P40" s="35">
        <f t="shared" si="78"/>
        <v>0</v>
      </c>
      <c r="Q40" s="35">
        <f t="shared" si="78"/>
        <v>0</v>
      </c>
      <c r="R40" s="35">
        <f t="shared" si="78"/>
        <v>0</v>
      </c>
      <c r="S40" s="35">
        <f aca="true" t="shared" si="79" ref="S40:AH40">+ET40</f>
        <v>2331.2929179599996</v>
      </c>
      <c r="T40" s="35">
        <f t="shared" si="79"/>
        <v>2467.5812684400003</v>
      </c>
      <c r="U40" s="35">
        <f t="shared" si="79"/>
        <v>2775.5576804800003</v>
      </c>
      <c r="V40" s="35">
        <f t="shared" si="79"/>
        <v>7574.431866880001</v>
      </c>
      <c r="W40" s="35">
        <f t="shared" si="79"/>
        <v>2627.7180928000002</v>
      </c>
      <c r="X40" s="35">
        <f t="shared" si="79"/>
        <v>2756.6539080700013</v>
      </c>
      <c r="Y40" s="35">
        <f t="shared" si="79"/>
        <v>2861.6945421600003</v>
      </c>
      <c r="Z40" s="35">
        <f t="shared" si="79"/>
        <v>8246.066543030003</v>
      </c>
      <c r="AA40" s="35">
        <f t="shared" si="79"/>
        <v>3066.82791613</v>
      </c>
      <c r="AB40" s="35">
        <f t="shared" si="79"/>
        <v>3086.3054957599998</v>
      </c>
      <c r="AC40" s="35">
        <f t="shared" si="79"/>
        <v>3091.2774863199998</v>
      </c>
      <c r="AD40" s="35">
        <f t="shared" si="79"/>
        <v>9244.410898209999</v>
      </c>
      <c r="AE40" s="35">
        <f t="shared" si="79"/>
        <v>3209.29473888</v>
      </c>
      <c r="AF40" s="35">
        <f t="shared" si="79"/>
        <v>3266.767314659999</v>
      </c>
      <c r="AG40" s="35">
        <f t="shared" si="79"/>
        <v>3365.21333155</v>
      </c>
      <c r="AH40" s="35">
        <f t="shared" si="79"/>
        <v>9841.275385089999</v>
      </c>
      <c r="AI40" s="35">
        <f>+C40-S40</f>
        <v>513.7565311600001</v>
      </c>
      <c r="AJ40" s="34">
        <f>+(AI40/S40)</f>
        <v>0.22037407963713257</v>
      </c>
      <c r="AK40" s="19"/>
      <c r="AL40" s="35">
        <v>2133.5088208</v>
      </c>
      <c r="AM40" s="35">
        <v>1888.80533212</v>
      </c>
      <c r="AN40" s="35">
        <v>2080.19456788</v>
      </c>
      <c r="AO40" s="35">
        <f>+SUM(AL40:AN40)</f>
        <v>6102.5087208</v>
      </c>
      <c r="AP40" s="35">
        <v>2037.55908378</v>
      </c>
      <c r="AQ40" s="35">
        <v>2353.44326623</v>
      </c>
      <c r="AR40" s="35">
        <v>2057.79711708</v>
      </c>
      <c r="AS40" s="35">
        <f>+SUM(AP40:AR40)</f>
        <v>6448.79946709</v>
      </c>
      <c r="AT40" s="35">
        <v>2494.79660437</v>
      </c>
      <c r="AU40" s="35">
        <v>2324.82077466</v>
      </c>
      <c r="AV40" s="35">
        <v>2356.1460285</v>
      </c>
      <c r="AW40" s="35">
        <f>+SUM(AT40:AV40)</f>
        <v>7175.763407529999</v>
      </c>
      <c r="AX40" s="35">
        <v>2334.11046355</v>
      </c>
      <c r="AY40" s="35">
        <v>1928.71915654</v>
      </c>
      <c r="AZ40" s="35">
        <v>2339.26935077</v>
      </c>
      <c r="BA40" s="35">
        <f>+SUM(AX40:AZ40)</f>
        <v>6602.098970860001</v>
      </c>
      <c r="BB40" s="35">
        <v>2004.51214669</v>
      </c>
      <c r="BC40" s="35">
        <v>2156.62577197</v>
      </c>
      <c r="BD40" s="35">
        <v>2178.89643522</v>
      </c>
      <c r="BE40" s="35">
        <f>+SUM(BB40:BD40)</f>
        <v>6340.034353880001</v>
      </c>
      <c r="BF40" s="35">
        <v>1953.16259041</v>
      </c>
      <c r="BG40" s="35">
        <v>2121.52099716</v>
      </c>
      <c r="BH40" s="35">
        <v>2231.89215563</v>
      </c>
      <c r="BI40" s="35">
        <f>+SUM(BF40:BH40)</f>
        <v>6306.5757432</v>
      </c>
      <c r="BJ40" s="35">
        <v>2449.23832576</v>
      </c>
      <c r="BK40" s="35">
        <v>2343.57654472</v>
      </c>
      <c r="BL40" s="35">
        <v>2322.61376024</v>
      </c>
      <c r="BM40" s="35">
        <f>+SUM(BJ40:BL40)</f>
        <v>7115.42863072</v>
      </c>
      <c r="BN40" s="35">
        <v>2311.47474862</v>
      </c>
      <c r="BO40" s="35">
        <v>2336.13165319</v>
      </c>
      <c r="BP40" s="35">
        <v>2308.9133114</v>
      </c>
      <c r="BQ40" s="35">
        <f>+SUM(BN40:BP40)</f>
        <v>6956.51971321</v>
      </c>
      <c r="BR40" s="35">
        <v>1906.47849984</v>
      </c>
      <c r="BS40" s="35">
        <v>2090.74688935</v>
      </c>
      <c r="BT40" s="35">
        <v>2166.5675762</v>
      </c>
      <c r="BU40" s="35">
        <f>+SUM(BR40:BT40)</f>
        <v>6163.79296539</v>
      </c>
      <c r="BV40" s="35">
        <v>2109.5657197</v>
      </c>
      <c r="BW40" s="35">
        <v>2194.02336812</v>
      </c>
      <c r="BX40" s="35">
        <v>2058.35471548</v>
      </c>
      <c r="BY40" s="35">
        <f>+SUM(BV40:BX40)</f>
        <v>6361.943803300001</v>
      </c>
      <c r="BZ40" s="35">
        <v>2482.61733185</v>
      </c>
      <c r="CA40" s="35">
        <v>2528.07187386</v>
      </c>
      <c r="CB40" s="35">
        <v>2447.03236807</v>
      </c>
      <c r="CC40" s="35">
        <f>+SUM(BZ40:CB40)</f>
        <v>7457.72157378</v>
      </c>
      <c r="CD40" s="35">
        <v>2439.78021697</v>
      </c>
      <c r="CE40" s="35">
        <v>2479.34335479</v>
      </c>
      <c r="CF40" s="35">
        <v>2507.64887873</v>
      </c>
      <c r="CG40" s="35">
        <f>+SUM(CD40:CF40)</f>
        <v>7426.77245049</v>
      </c>
      <c r="CH40" s="35">
        <v>2023.3527525100674</v>
      </c>
      <c r="CI40" s="35">
        <v>2148.2529063400234</v>
      </c>
      <c r="CJ40" s="35">
        <v>2396.5471769800006</v>
      </c>
      <c r="CK40" s="35">
        <f>+SUM(CH40:CJ40)</f>
        <v>6568.152835830091</v>
      </c>
      <c r="CL40" s="35">
        <v>2242.25426999</v>
      </c>
      <c r="CM40" s="35">
        <v>2383.6945873800005</v>
      </c>
      <c r="CN40" s="35">
        <v>2425.15285978</v>
      </c>
      <c r="CO40" s="35">
        <f>+SUM(CL40:CN40)</f>
        <v>7051.101717150001</v>
      </c>
      <c r="CP40" s="35">
        <v>2583.6875922100007</v>
      </c>
      <c r="CQ40" s="35">
        <v>2679.4272275499998</v>
      </c>
      <c r="CR40" s="35">
        <v>2695.7189283500006</v>
      </c>
      <c r="CS40" s="35">
        <f>+SUM(CP40:CR40)</f>
        <v>7958.833748110001</v>
      </c>
      <c r="CT40" s="35">
        <v>2772.6587839</v>
      </c>
      <c r="CU40" s="35">
        <v>2620.743183490001</v>
      </c>
      <c r="CV40" s="35">
        <v>2566.90843746</v>
      </c>
      <c r="CW40" s="35">
        <f>+SUM(CT40:CV40)</f>
        <v>7960.310404850001</v>
      </c>
      <c r="CX40" s="35">
        <v>2127.018900290001</v>
      </c>
      <c r="CY40" s="35">
        <v>2240.5280435299996</v>
      </c>
      <c r="CZ40" s="35">
        <v>2444.8644479300006</v>
      </c>
      <c r="DA40" s="35">
        <f>+SUM(CX40:CZ40)</f>
        <v>6812.411391750002</v>
      </c>
      <c r="DB40" s="35">
        <v>2199.2568752299967</v>
      </c>
      <c r="DC40" s="35">
        <v>2575.5678077899997</v>
      </c>
      <c r="DD40" s="35">
        <v>2732.9615934200006</v>
      </c>
      <c r="DE40" s="35">
        <f>+SUM(DB40:DD40)</f>
        <v>7507.786276439998</v>
      </c>
      <c r="DF40" s="35">
        <v>2850.46939701</v>
      </c>
      <c r="DG40" s="35">
        <v>2923.630174060001</v>
      </c>
      <c r="DH40" s="35">
        <v>2765.4340426800004</v>
      </c>
      <c r="DI40" s="35">
        <f>+SUM(DF40:DH40)</f>
        <v>8539.533613750002</v>
      </c>
      <c r="DJ40" s="35">
        <v>2988.101907590001</v>
      </c>
      <c r="DK40" s="35">
        <v>2675.9329842099996</v>
      </c>
      <c r="DL40" s="35">
        <v>2628.12788222</v>
      </c>
      <c r="DM40" s="35">
        <f>+SUM(DJ40:DL40)</f>
        <v>8292.16277402</v>
      </c>
      <c r="DN40" s="35">
        <v>2399.2782827399997</v>
      </c>
      <c r="DO40" s="35">
        <v>2389.4814093599994</v>
      </c>
      <c r="DP40" s="35">
        <v>2654.56606594</v>
      </c>
      <c r="DQ40" s="35">
        <f>+SUM(DN40:DP40)</f>
        <v>7443.325758039999</v>
      </c>
      <c r="DR40" s="35">
        <v>2505.3865940400005</v>
      </c>
      <c r="DS40" s="35">
        <v>2852.85866978</v>
      </c>
      <c r="DT40" s="35">
        <v>2906.4272953799996</v>
      </c>
      <c r="DU40" s="35">
        <f>+SUM(DR40:DT40)</f>
        <v>8264.6725592</v>
      </c>
      <c r="DV40" s="35">
        <v>3049.2550765200003</v>
      </c>
      <c r="DW40" s="35">
        <v>3080.8974472</v>
      </c>
      <c r="DX40" s="35">
        <v>2922.99498869</v>
      </c>
      <c r="DY40" s="35">
        <f>+SUM(DV40:DX40)</f>
        <v>9053.14751241</v>
      </c>
      <c r="DZ40" s="35">
        <v>3214.55514476</v>
      </c>
      <c r="EA40" s="35">
        <v>2890.3619818800003</v>
      </c>
      <c r="EB40" s="35">
        <v>2870.610145169999</v>
      </c>
      <c r="EC40" s="35">
        <f>+SUM(DZ40:EB40)</f>
        <v>8975.52727181</v>
      </c>
      <c r="ED40" s="35">
        <v>2790.95191777</v>
      </c>
      <c r="EE40" s="35">
        <v>2715.21485924</v>
      </c>
      <c r="EF40" s="35">
        <v>2399.40748242</v>
      </c>
      <c r="EG40" s="35">
        <f>+SUM(ED40:EF40)</f>
        <v>7905.574259429999</v>
      </c>
      <c r="EH40" s="35">
        <v>2160.93638982</v>
      </c>
      <c r="EI40" s="35">
        <v>2298.1993818</v>
      </c>
      <c r="EJ40" s="35">
        <v>2533.47318961</v>
      </c>
      <c r="EK40" s="35">
        <f>+SUM(EH40:EJ40)</f>
        <v>6992.60896123</v>
      </c>
      <c r="EL40" s="35">
        <v>3020.4082237000007</v>
      </c>
      <c r="EM40" s="35">
        <v>3127.4807676599994</v>
      </c>
      <c r="EN40" s="35">
        <v>2990.8945876900007</v>
      </c>
      <c r="EO40" s="35">
        <f>+SUM(EL40:EN40)</f>
        <v>9138.78357905</v>
      </c>
      <c r="EP40" s="35">
        <v>3348.5769009900005</v>
      </c>
      <c r="EQ40" s="35">
        <v>2927.3934049500003</v>
      </c>
      <c r="ER40" s="35">
        <v>2893.99282363</v>
      </c>
      <c r="ES40" s="35">
        <f>+SUM(EP40:ER40)</f>
        <v>9169.963129570002</v>
      </c>
      <c r="ET40" s="35">
        <v>2331.2929179599996</v>
      </c>
      <c r="EU40" s="35">
        <v>2467.5812684400003</v>
      </c>
      <c r="EV40" s="35">
        <v>2775.5576804800003</v>
      </c>
      <c r="EW40" s="35">
        <f>+SUM(ET40:EV40)</f>
        <v>7574.431866880001</v>
      </c>
      <c r="EX40" s="35">
        <v>2627.7180928000002</v>
      </c>
      <c r="EY40" s="35">
        <v>2756.6539080700013</v>
      </c>
      <c r="EZ40" s="35">
        <v>2861.6945421600003</v>
      </c>
      <c r="FA40" s="35">
        <f>+SUM(EX40:EZ40)</f>
        <v>8246.066543030003</v>
      </c>
      <c r="FB40" s="35">
        <v>3066.82791613</v>
      </c>
      <c r="FC40" s="35">
        <v>3086.3054957599998</v>
      </c>
      <c r="FD40" s="35">
        <v>3091.2774863199998</v>
      </c>
      <c r="FE40" s="35">
        <f>+SUM(FB40:FD40)</f>
        <v>9244.410898209999</v>
      </c>
      <c r="FF40" s="35">
        <v>3209.29473888</v>
      </c>
      <c r="FG40" s="35">
        <v>3266.767314659999</v>
      </c>
      <c r="FH40" s="35">
        <v>3365.21333155</v>
      </c>
      <c r="FI40" s="35">
        <f>+SUM(FF40:FH40)</f>
        <v>9841.275385089999</v>
      </c>
      <c r="FJ40" s="35">
        <v>2845.0494491199997</v>
      </c>
      <c r="FK40" s="35"/>
      <c r="FL40" s="35"/>
      <c r="FM40" s="35">
        <f>+SUM(FJ40:FL40)</f>
        <v>2845.0494491199997</v>
      </c>
      <c r="FN40" s="35"/>
      <c r="FO40" s="35"/>
      <c r="FP40" s="35"/>
      <c r="FQ40" s="35">
        <f>+SUM(FN40:FP40)</f>
        <v>0</v>
      </c>
      <c r="FR40" s="35"/>
      <c r="FS40" s="35"/>
      <c r="FT40" s="35"/>
      <c r="FU40" s="35">
        <f>+SUM(FR40:FT40)</f>
        <v>0</v>
      </c>
      <c r="FV40" s="35"/>
      <c r="FW40" s="35"/>
      <c r="FX40" s="35"/>
      <c r="FY40" s="35">
        <f>+SUM(FV40:FX40)</f>
        <v>0</v>
      </c>
      <c r="FZ40" s="33"/>
      <c r="GA40" s="16">
        <f>+AO40+AS40+AW40+BA40</f>
        <v>26329.17056628</v>
      </c>
      <c r="GB40" s="35">
        <f>+BE40+BI40+BM40+BQ40</f>
        <v>26718.55844101</v>
      </c>
      <c r="GC40" s="35">
        <f>+BU40+BY40+CC40+CG40</f>
        <v>27410.23079296</v>
      </c>
      <c r="GD40" s="35">
        <f>+CK40+CO40+CS40+CW40</f>
        <v>29538.398705940097</v>
      </c>
      <c r="GE40" s="35">
        <f>+DA40+DE40+DI40+DM40</f>
        <v>31151.89405596</v>
      </c>
      <c r="GF40" s="35">
        <f>+DQ40+DU40+DY40+EC40</f>
        <v>33736.67310146</v>
      </c>
      <c r="GG40" s="35">
        <f>+EG40+EK40+EO40+ES40</f>
        <v>33206.92992928</v>
      </c>
      <c r="GH40" s="35">
        <f>+EW40+FA40+FE40+FI40</f>
        <v>34906.18469321</v>
      </c>
      <c r="GI40" s="35">
        <f>+FM40+FQ40+FU40+FY40</f>
        <v>2845.0494491199997</v>
      </c>
      <c r="GJ40" s="33"/>
      <c r="GK40" s="33"/>
      <c r="GL40" s="33"/>
      <c r="GM40" s="33"/>
      <c r="GN40" s="33"/>
      <c r="GO40" s="33"/>
      <c r="GP40" s="33"/>
      <c r="GQ40" s="33"/>
      <c r="GR40" s="33"/>
      <c r="GS40" s="33"/>
      <c r="GT40" s="33"/>
      <c r="GU40" s="33"/>
      <c r="GV40" s="33"/>
      <c r="GW40" s="33"/>
    </row>
    <row r="41" spans="1:205" s="32" customFormat="1" ht="15" customHeight="1">
      <c r="A41" s="21"/>
      <c r="B41" s="36"/>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4"/>
      <c r="AK41" s="19"/>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3"/>
      <c r="GA41" s="35"/>
      <c r="GB41" s="35"/>
      <c r="GC41" s="35"/>
      <c r="GD41" s="35"/>
      <c r="GE41" s="35"/>
      <c r="GF41" s="35"/>
      <c r="GG41" s="35"/>
      <c r="GH41" s="35"/>
      <c r="GI41" s="35"/>
      <c r="GJ41" s="33"/>
      <c r="GK41" s="33"/>
      <c r="GL41" s="33"/>
      <c r="GM41" s="33"/>
      <c r="GN41" s="33"/>
      <c r="GO41" s="33"/>
      <c r="GP41" s="33"/>
      <c r="GQ41" s="33"/>
      <c r="GR41" s="33"/>
      <c r="GS41" s="33"/>
      <c r="GT41" s="33"/>
      <c r="GU41" s="33"/>
      <c r="GV41" s="33"/>
      <c r="GW41" s="33"/>
    </row>
    <row r="42" spans="1:205" s="32" customFormat="1" ht="15" customHeight="1">
      <c r="A42" s="21"/>
      <c r="B42" s="36" t="s">
        <v>27</v>
      </c>
      <c r="C42" s="35">
        <f aca="true" t="shared" si="80" ref="C42:R42">+FJ42</f>
        <v>2876.7230087</v>
      </c>
      <c r="D42" s="35">
        <f t="shared" si="80"/>
        <v>0</v>
      </c>
      <c r="E42" s="35">
        <f t="shared" si="80"/>
        <v>0</v>
      </c>
      <c r="F42" s="35">
        <f t="shared" si="80"/>
        <v>2876.7230087</v>
      </c>
      <c r="G42" s="35">
        <f t="shared" si="80"/>
        <v>0</v>
      </c>
      <c r="H42" s="35">
        <f t="shared" si="80"/>
        <v>0</v>
      </c>
      <c r="I42" s="35">
        <f t="shared" si="80"/>
        <v>0</v>
      </c>
      <c r="J42" s="35">
        <f t="shared" si="80"/>
        <v>0</v>
      </c>
      <c r="K42" s="35">
        <f t="shared" si="80"/>
        <v>0</v>
      </c>
      <c r="L42" s="35">
        <f t="shared" si="80"/>
        <v>0</v>
      </c>
      <c r="M42" s="35">
        <f t="shared" si="80"/>
        <v>0</v>
      </c>
      <c r="N42" s="35">
        <f t="shared" si="80"/>
        <v>0</v>
      </c>
      <c r="O42" s="35">
        <f t="shared" si="80"/>
        <v>0</v>
      </c>
      <c r="P42" s="35">
        <f t="shared" si="80"/>
        <v>0</v>
      </c>
      <c r="Q42" s="35">
        <f t="shared" si="80"/>
        <v>0</v>
      </c>
      <c r="R42" s="35">
        <f t="shared" si="80"/>
        <v>0</v>
      </c>
      <c r="S42" s="35">
        <f aca="true" t="shared" si="81" ref="S42:AH42">+ET42</f>
        <v>2364.31497315</v>
      </c>
      <c r="T42" s="35">
        <f t="shared" si="81"/>
        <v>2500.10608957</v>
      </c>
      <c r="U42" s="35">
        <f t="shared" si="81"/>
        <v>2813.5376068600003</v>
      </c>
      <c r="V42" s="35">
        <f t="shared" si="81"/>
        <v>7677.958669580001</v>
      </c>
      <c r="W42" s="35">
        <f t="shared" si="81"/>
        <v>2663.79272506</v>
      </c>
      <c r="X42" s="35">
        <f t="shared" si="81"/>
        <v>2787.890035270001</v>
      </c>
      <c r="Y42" s="35">
        <f t="shared" si="81"/>
        <v>2893.40243644</v>
      </c>
      <c r="Z42" s="35">
        <f t="shared" si="81"/>
        <v>8345.08519677</v>
      </c>
      <c r="AA42" s="35">
        <f t="shared" si="81"/>
        <v>3098.76104853</v>
      </c>
      <c r="AB42" s="35">
        <f t="shared" si="81"/>
        <v>3119.13965848</v>
      </c>
      <c r="AC42" s="35">
        <f t="shared" si="81"/>
        <v>3123.04331543</v>
      </c>
      <c r="AD42" s="35">
        <f t="shared" si="81"/>
        <v>9340.944022439999</v>
      </c>
      <c r="AE42" s="35">
        <f t="shared" si="81"/>
        <v>3243.28265694</v>
      </c>
      <c r="AF42" s="35">
        <f t="shared" si="81"/>
        <v>3299.8778133299993</v>
      </c>
      <c r="AG42" s="35">
        <f t="shared" si="81"/>
        <v>3399.13532612</v>
      </c>
      <c r="AH42" s="35">
        <f t="shared" si="81"/>
        <v>9942.295796389999</v>
      </c>
      <c r="AI42" s="35">
        <f>+C42-S42</f>
        <v>512.40803555</v>
      </c>
      <c r="AJ42" s="34">
        <f>+(AI42/S42)</f>
        <v>0.21672579219312468</v>
      </c>
      <c r="AK42" s="18"/>
      <c r="AL42" s="35">
        <v>2157.1582502799997</v>
      </c>
      <c r="AM42" s="35">
        <v>1910.0903886</v>
      </c>
      <c r="AN42" s="35">
        <v>2107.2445598900003</v>
      </c>
      <c r="AO42" s="35">
        <f>+SUM(AL42:AN42)</f>
        <v>6174.49319877</v>
      </c>
      <c r="AP42" s="35">
        <v>2062.11986029</v>
      </c>
      <c r="AQ42" s="35">
        <v>2376.87148456</v>
      </c>
      <c r="AR42" s="35">
        <v>2082.58587554</v>
      </c>
      <c r="AS42" s="35">
        <f>+SUM(AP42:AR42)</f>
        <v>6521.57722039</v>
      </c>
      <c r="AT42" s="35">
        <v>2521.6995233100006</v>
      </c>
      <c r="AU42" s="35">
        <v>2350.3693114400003</v>
      </c>
      <c r="AV42" s="35">
        <v>2383.90361568</v>
      </c>
      <c r="AW42" s="35">
        <f>+SUM(AT42:AV42)</f>
        <v>7255.972450430001</v>
      </c>
      <c r="AX42" s="35">
        <v>2363.54769262</v>
      </c>
      <c r="AY42" s="35">
        <v>1952.57365785</v>
      </c>
      <c r="AZ42" s="35">
        <v>2366.1226254000007</v>
      </c>
      <c r="BA42" s="35">
        <f>+SUM(AX42:AZ42)</f>
        <v>6682.24397587</v>
      </c>
      <c r="BB42" s="35">
        <v>2029.5161823</v>
      </c>
      <c r="BC42" s="35">
        <v>2184.96807059</v>
      </c>
      <c r="BD42" s="35">
        <v>2206.76883336</v>
      </c>
      <c r="BE42" s="35">
        <f>+SUM(BB42:BD42)</f>
        <v>6421.25308625</v>
      </c>
      <c r="BF42" s="35">
        <v>1978.3022756999999</v>
      </c>
      <c r="BG42" s="35">
        <v>2147.24589885</v>
      </c>
      <c r="BH42" s="35">
        <v>2255.14250175</v>
      </c>
      <c r="BI42" s="35">
        <f>+SUM(BF42:BH42)</f>
        <v>6380.690676300001</v>
      </c>
      <c r="BJ42" s="35">
        <v>2477.04703119</v>
      </c>
      <c r="BK42" s="35">
        <v>2369.38279194</v>
      </c>
      <c r="BL42" s="35">
        <v>2350.2014811599997</v>
      </c>
      <c r="BM42" s="35">
        <f>+SUM(BJ42:BL42)</f>
        <v>7196.63130429</v>
      </c>
      <c r="BN42" s="35">
        <v>2337.21502226</v>
      </c>
      <c r="BO42" s="35">
        <v>2361.8068336500005</v>
      </c>
      <c r="BP42" s="35">
        <v>2337.82079434</v>
      </c>
      <c r="BQ42" s="35">
        <f>+SUM(BN42:BP42)</f>
        <v>7036.842650250001</v>
      </c>
      <c r="BR42" s="35">
        <v>1929.1048225000002</v>
      </c>
      <c r="BS42" s="35">
        <v>2118.44791271</v>
      </c>
      <c r="BT42" s="35">
        <v>2194.6985352700003</v>
      </c>
      <c r="BU42" s="35">
        <f>+SUM(BR42:BT42)</f>
        <v>6242.25127048</v>
      </c>
      <c r="BV42" s="35">
        <v>2137.63794272</v>
      </c>
      <c r="BW42" s="35">
        <v>2222.3249769000004</v>
      </c>
      <c r="BX42" s="35">
        <v>2084.9455965999996</v>
      </c>
      <c r="BY42" s="35">
        <f>+SUM(BV42:BX42)</f>
        <v>6444.90851622</v>
      </c>
      <c r="BZ42" s="35">
        <v>2509.4023014100003</v>
      </c>
      <c r="CA42" s="35">
        <v>2553.59528567</v>
      </c>
      <c r="CB42" s="35">
        <v>2472.51473329</v>
      </c>
      <c r="CC42" s="35">
        <f>+SUM(BZ42:CB42)</f>
        <v>7535.51232037</v>
      </c>
      <c r="CD42" s="35">
        <v>2464.92373421</v>
      </c>
      <c r="CE42" s="35">
        <v>2503.0979442</v>
      </c>
      <c r="CF42" s="35">
        <v>2531.99981105</v>
      </c>
      <c r="CG42" s="35">
        <f>+SUM(CD42:CF42)</f>
        <v>7500.021489459999</v>
      </c>
      <c r="CH42" s="35">
        <v>2045.26949889</v>
      </c>
      <c r="CI42" s="35">
        <v>2173.59494908</v>
      </c>
      <c r="CJ42" s="35">
        <v>2424.5902289800006</v>
      </c>
      <c r="CK42" s="35">
        <f>+SUM(CH42:CJ42)</f>
        <v>6643.45467695</v>
      </c>
      <c r="CL42" s="35">
        <v>2266.24272316</v>
      </c>
      <c r="CM42" s="35">
        <v>2408.7748899300004</v>
      </c>
      <c r="CN42" s="35">
        <v>2452.70697414</v>
      </c>
      <c r="CO42" s="35">
        <f>+SUM(CL42:CN42)</f>
        <v>7127.72458723</v>
      </c>
      <c r="CP42" s="35">
        <v>2611.5710154900007</v>
      </c>
      <c r="CQ42" s="35">
        <v>2707.7152985199996</v>
      </c>
      <c r="CR42" s="35">
        <v>2722.3862699100005</v>
      </c>
      <c r="CS42" s="35">
        <f>+SUM(CP42:CR42)</f>
        <v>8041.672583920001</v>
      </c>
      <c r="CT42" s="35">
        <v>2799.5395576299998</v>
      </c>
      <c r="CU42" s="35">
        <v>2645.900026660001</v>
      </c>
      <c r="CV42" s="35">
        <v>2592.69007293</v>
      </c>
      <c r="CW42" s="35">
        <f>+SUM(CT42:CV42)</f>
        <v>8038.129657220001</v>
      </c>
      <c r="CX42" s="35">
        <v>2152.500915530001</v>
      </c>
      <c r="CY42" s="35">
        <v>2265.1270282699998</v>
      </c>
      <c r="CZ42" s="35">
        <v>2469.1944654200006</v>
      </c>
      <c r="DA42" s="35">
        <f>+SUM(CX42:CZ42)</f>
        <v>6886.822409220001</v>
      </c>
      <c r="DB42" s="35">
        <v>2222.3353457599997</v>
      </c>
      <c r="DC42" s="35">
        <v>2603.81132343</v>
      </c>
      <c r="DD42" s="35">
        <v>2760.3526965900005</v>
      </c>
      <c r="DE42" s="35">
        <f>+SUM(DB42:DD42)</f>
        <v>7586.4993657800005</v>
      </c>
      <c r="DF42" s="35">
        <v>2878.9789919</v>
      </c>
      <c r="DG42" s="35">
        <v>2953.059872590001</v>
      </c>
      <c r="DH42" s="35">
        <v>2793.27009011</v>
      </c>
      <c r="DI42" s="35">
        <f>+SUM(DF42:DH42)</f>
        <v>8625.308954600001</v>
      </c>
      <c r="DJ42" s="35">
        <v>3017.7377070199996</v>
      </c>
      <c r="DK42" s="35">
        <v>2705.0156565499997</v>
      </c>
      <c r="DL42" s="35">
        <v>2654.9365298000002</v>
      </c>
      <c r="DM42" s="35">
        <f>+SUM(DJ42:DL42)</f>
        <v>8377.68989337</v>
      </c>
      <c r="DN42" s="35">
        <v>2428.7769516699996</v>
      </c>
      <c r="DO42" s="35">
        <v>2413.6882939199995</v>
      </c>
      <c r="DP42" s="35">
        <v>2681.41998401</v>
      </c>
      <c r="DQ42" s="35">
        <f>+SUM(DN42:DP42)</f>
        <v>7523.8852296</v>
      </c>
      <c r="DR42" s="35">
        <v>2529.7686950499997</v>
      </c>
      <c r="DS42" s="35">
        <v>2881.85520602</v>
      </c>
      <c r="DT42" s="35">
        <v>2935.2854462399996</v>
      </c>
      <c r="DU42" s="35">
        <f>+SUM(DR42:DT42)</f>
        <v>8346.909347309998</v>
      </c>
      <c r="DV42" s="35">
        <v>3079.563136</v>
      </c>
      <c r="DW42" s="35">
        <v>3107.30616251</v>
      </c>
      <c r="DX42" s="35">
        <v>2948.16400484</v>
      </c>
      <c r="DY42" s="35">
        <f>+SUM(DV42:DX42)</f>
        <v>9135.033303350001</v>
      </c>
      <c r="DZ42" s="35">
        <v>3242.10624138</v>
      </c>
      <c r="EA42" s="35">
        <v>2915.65198188</v>
      </c>
      <c r="EB42" s="35">
        <v>2894.9532354799994</v>
      </c>
      <c r="EC42" s="35">
        <f>+SUM(DZ42:EB42)</f>
        <v>9052.71145874</v>
      </c>
      <c r="ED42" s="35">
        <v>2817.3889033699998</v>
      </c>
      <c r="EE42" s="35">
        <v>2740.8284002</v>
      </c>
      <c r="EF42" s="35">
        <v>2420.84550724</v>
      </c>
      <c r="EG42" s="35">
        <f>+SUM(ED42:EF42)</f>
        <v>7979.06281081</v>
      </c>
      <c r="EH42" s="35">
        <v>2166.39607593</v>
      </c>
      <c r="EI42" s="35">
        <v>2305.62280551</v>
      </c>
      <c r="EJ42" s="35">
        <v>2550.92578768</v>
      </c>
      <c r="EK42" s="35">
        <f>+SUM(EH42:EJ42)</f>
        <v>7022.94466912</v>
      </c>
      <c r="EL42" s="35">
        <v>3039.0733383100005</v>
      </c>
      <c r="EM42" s="35">
        <v>3149.0240850899995</v>
      </c>
      <c r="EN42" s="35">
        <v>3017.7575812700006</v>
      </c>
      <c r="EO42" s="35">
        <f>+SUM(EL42:EN42)</f>
        <v>9205.85500467</v>
      </c>
      <c r="EP42" s="35">
        <v>3382.2821268100006</v>
      </c>
      <c r="EQ42" s="35">
        <v>2957.8783214200002</v>
      </c>
      <c r="ER42" s="35">
        <v>2930.147257</v>
      </c>
      <c r="ES42" s="35">
        <f>+SUM(EP42:ER42)</f>
        <v>9270.307705230001</v>
      </c>
      <c r="ET42" s="35">
        <v>2364.31497315</v>
      </c>
      <c r="EU42" s="35">
        <v>2500.10608957</v>
      </c>
      <c r="EV42" s="35">
        <v>2813.5376068600003</v>
      </c>
      <c r="EW42" s="35">
        <f>+SUM(ET42:EV42)</f>
        <v>7677.958669580001</v>
      </c>
      <c r="EX42" s="35">
        <v>2663.79272506</v>
      </c>
      <c r="EY42" s="35">
        <v>2787.890035270001</v>
      </c>
      <c r="EZ42" s="35">
        <v>2893.40243644</v>
      </c>
      <c r="FA42" s="35">
        <f>+SUM(EX42:EZ42)</f>
        <v>8345.08519677</v>
      </c>
      <c r="FB42" s="35">
        <v>3098.76104853</v>
      </c>
      <c r="FC42" s="35">
        <v>3119.13965848</v>
      </c>
      <c r="FD42" s="35">
        <v>3123.04331543</v>
      </c>
      <c r="FE42" s="35">
        <f>+SUM(FB42:FD42)</f>
        <v>9340.944022439999</v>
      </c>
      <c r="FF42" s="35">
        <v>3243.28265694</v>
      </c>
      <c r="FG42" s="35">
        <v>3299.8778133299993</v>
      </c>
      <c r="FH42" s="35">
        <v>3399.13532612</v>
      </c>
      <c r="FI42" s="35">
        <f>+SUM(FF42:FH42)</f>
        <v>9942.295796389999</v>
      </c>
      <c r="FJ42" s="35">
        <v>2876.7230087</v>
      </c>
      <c r="FK42" s="35"/>
      <c r="FL42" s="35"/>
      <c r="FM42" s="35">
        <f>+SUM(FJ42:FL42)</f>
        <v>2876.7230087</v>
      </c>
      <c r="FN42" s="35"/>
      <c r="FO42" s="35"/>
      <c r="FP42" s="35"/>
      <c r="FQ42" s="35">
        <f>+SUM(FN42:FP42)</f>
        <v>0</v>
      </c>
      <c r="FR42" s="35"/>
      <c r="FS42" s="35"/>
      <c r="FT42" s="35"/>
      <c r="FU42" s="35">
        <f>+SUM(FR42:FT42)</f>
        <v>0</v>
      </c>
      <c r="FV42" s="35"/>
      <c r="FW42" s="35"/>
      <c r="FX42" s="35"/>
      <c r="FY42" s="35">
        <f>+SUM(FV42:FX42)</f>
        <v>0</v>
      </c>
      <c r="FZ42" s="33"/>
      <c r="GA42" s="35">
        <f>+AO42+AS42+AW42+BA42</f>
        <v>26634.286845460003</v>
      </c>
      <c r="GB42" s="35">
        <f>+BE42+BI42+BM42+BQ42</f>
        <v>27035.41771709</v>
      </c>
      <c r="GC42" s="35">
        <f>+BU42+BY42+CC42+CG42</f>
        <v>27722.69359653</v>
      </c>
      <c r="GD42" s="35">
        <f>+CK42+CO42+CS42+CW42</f>
        <v>29850.98150532</v>
      </c>
      <c r="GE42" s="35">
        <f>+DA42+DE42+DI42+DM42</f>
        <v>31476.32062297</v>
      </c>
      <c r="GF42" s="35">
        <f>+DQ42+DU42+DY42+EC42</f>
        <v>34058.539338999995</v>
      </c>
      <c r="GG42" s="35">
        <f>+EG42+EK42+EO42+ES42</f>
        <v>33478.17018983</v>
      </c>
      <c r="GH42" s="35">
        <f>+EW42+FA42+FE42+FI42</f>
        <v>35306.283685179995</v>
      </c>
      <c r="GI42" s="35">
        <f>+FM42+FQ42+FU42+FY42</f>
        <v>2876.7230087</v>
      </c>
      <c r="GJ42" s="33"/>
      <c r="GK42" s="33"/>
      <c r="GL42" s="33"/>
      <c r="GM42" s="33"/>
      <c r="GN42" s="33"/>
      <c r="GO42" s="33"/>
      <c r="GP42" s="33"/>
      <c r="GQ42" s="33"/>
      <c r="GR42" s="33"/>
      <c r="GS42" s="33"/>
      <c r="GT42" s="33"/>
      <c r="GU42" s="33"/>
      <c r="GV42" s="33"/>
      <c r="GW42" s="33"/>
    </row>
    <row r="43" spans="1:205" s="32" customFormat="1" ht="15" customHeight="1">
      <c r="A43" s="21"/>
      <c r="B43" s="1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44"/>
      <c r="AJ43" s="34"/>
      <c r="AK43" s="19"/>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76"/>
      <c r="FG43" s="44"/>
      <c r="FH43" s="44"/>
      <c r="FI43" s="44"/>
      <c r="FJ43" s="44"/>
      <c r="FK43" s="44"/>
      <c r="FL43" s="44"/>
      <c r="FM43" s="44"/>
      <c r="FN43" s="44"/>
      <c r="FO43" s="44"/>
      <c r="FP43" s="44"/>
      <c r="FQ43" s="44"/>
      <c r="FR43" s="44"/>
      <c r="FS43" s="44"/>
      <c r="FT43" s="44"/>
      <c r="FU43" s="44"/>
      <c r="FV43" s="76"/>
      <c r="FW43" s="44"/>
      <c r="FX43" s="44"/>
      <c r="FY43" s="44"/>
      <c r="FZ43" s="33"/>
      <c r="GA43" s="35"/>
      <c r="GB43" s="35"/>
      <c r="GC43" s="35"/>
      <c r="GD43" s="35"/>
      <c r="GE43" s="35"/>
      <c r="GF43" s="35"/>
      <c r="GG43" s="35"/>
      <c r="GH43" s="35"/>
      <c r="GI43" s="35"/>
      <c r="GJ43" s="33"/>
      <c r="GK43" s="33"/>
      <c r="GL43" s="33"/>
      <c r="GM43" s="33"/>
      <c r="GN43" s="33"/>
      <c r="GO43" s="33"/>
      <c r="GP43" s="33"/>
      <c r="GQ43" s="33"/>
      <c r="GR43" s="33"/>
      <c r="GS43" s="33"/>
      <c r="GT43" s="33"/>
      <c r="GU43" s="33"/>
      <c r="GV43" s="33"/>
      <c r="GW43" s="33"/>
    </row>
    <row r="44" spans="1:205" ht="15" customHeight="1">
      <c r="A44" s="21"/>
      <c r="B44" s="36" t="s">
        <v>17</v>
      </c>
      <c r="C44" s="35">
        <f aca="true" t="shared" si="82" ref="C44:R44">+FJ44</f>
        <v>13.234871672534194</v>
      </c>
      <c r="D44" s="35">
        <f t="shared" si="82"/>
        <v>0</v>
      </c>
      <c r="E44" s="35">
        <f t="shared" si="82"/>
        <v>0</v>
      </c>
      <c r="F44" s="35">
        <f t="shared" si="82"/>
        <v>13.234871672534194</v>
      </c>
      <c r="G44" s="35">
        <f t="shared" si="82"/>
        <v>0</v>
      </c>
      <c r="H44" s="35">
        <f t="shared" si="82"/>
        <v>0</v>
      </c>
      <c r="I44" s="35">
        <f t="shared" si="82"/>
        <v>0</v>
      </c>
      <c r="J44" s="35">
        <f t="shared" si="82"/>
        <v>0</v>
      </c>
      <c r="K44" s="35">
        <f t="shared" si="82"/>
        <v>0</v>
      </c>
      <c r="L44" s="35">
        <f t="shared" si="82"/>
        <v>0</v>
      </c>
      <c r="M44" s="35">
        <f t="shared" si="82"/>
        <v>0</v>
      </c>
      <c r="N44" s="35">
        <f t="shared" si="82"/>
        <v>0</v>
      </c>
      <c r="O44" s="35">
        <f t="shared" si="82"/>
        <v>0</v>
      </c>
      <c r="P44" s="35">
        <f t="shared" si="82"/>
        <v>0</v>
      </c>
      <c r="Q44" s="35">
        <f t="shared" si="82"/>
        <v>0</v>
      </c>
      <c r="R44" s="35">
        <f t="shared" si="82"/>
        <v>0</v>
      </c>
      <c r="S44" s="35">
        <f aca="true" t="shared" si="83" ref="S44:AH44">+ET44</f>
        <v>8.180847299666642</v>
      </c>
      <c r="T44" s="35">
        <f t="shared" si="83"/>
        <v>8.114736382795627</v>
      </c>
      <c r="U44" s="35">
        <f t="shared" si="83"/>
        <v>8.26770913805141</v>
      </c>
      <c r="V44" s="35">
        <f t="shared" si="83"/>
        <v>24.56329282051368</v>
      </c>
      <c r="W44" s="35">
        <f t="shared" si="83"/>
        <v>10.70052170254555</v>
      </c>
      <c r="X44" s="35">
        <f t="shared" si="83"/>
        <v>10.876474963191303</v>
      </c>
      <c r="Y44" s="35">
        <f t="shared" si="83"/>
        <v>11.208318357655875</v>
      </c>
      <c r="Z44" s="35">
        <f t="shared" si="83"/>
        <v>32.78531502339273</v>
      </c>
      <c r="AA44" s="35">
        <f t="shared" si="83"/>
        <v>14.19153006097567</v>
      </c>
      <c r="AB44" s="35">
        <f t="shared" si="83"/>
        <v>14.306522793077468</v>
      </c>
      <c r="AC44" s="35">
        <f t="shared" si="83"/>
        <v>14.785737520311704</v>
      </c>
      <c r="AD44" s="35">
        <f t="shared" si="83"/>
        <v>43.28379037436484</v>
      </c>
      <c r="AE44" s="35">
        <f t="shared" si="83"/>
        <v>15.578623481830764</v>
      </c>
      <c r="AF44" s="35">
        <f t="shared" si="83"/>
        <v>14.77673868674094</v>
      </c>
      <c r="AG44" s="35">
        <f t="shared" si="83"/>
        <v>14.31506187780959</v>
      </c>
      <c r="AH44" s="35">
        <f t="shared" si="83"/>
        <v>44.67042404638129</v>
      </c>
      <c r="AI44" s="35">
        <f>+C44-S44</f>
        <v>5.054024372867552</v>
      </c>
      <c r="AJ44" s="34">
        <f>+(AI44/S44)</f>
        <v>0.6177873987543437</v>
      </c>
      <c r="AK44" s="19"/>
      <c r="AL44" s="35">
        <v>8.49429569416093</v>
      </c>
      <c r="AM44" s="35">
        <v>9.148563153765531</v>
      </c>
      <c r="AN44" s="35">
        <v>7.764976782498566</v>
      </c>
      <c r="AO44" s="35">
        <f>+SUM(AL44:AN44)</f>
        <v>25.407835630425026</v>
      </c>
      <c r="AP44" s="35">
        <v>9.309333077625503</v>
      </c>
      <c r="AQ44" s="35">
        <v>9.623853393603673</v>
      </c>
      <c r="AR44" s="35">
        <v>10.022473849503482</v>
      </c>
      <c r="AS44" s="35">
        <f>+SUM(AP44:AR44)</f>
        <v>28.95566032073266</v>
      </c>
      <c r="AT44" s="35">
        <v>10.764386317397667</v>
      </c>
      <c r="AU44" s="35">
        <v>11.21749604046823</v>
      </c>
      <c r="AV44" s="35">
        <v>10.263006456216802</v>
      </c>
      <c r="AW44" s="35">
        <f>+SUM(AT44:AV44)</f>
        <v>32.2448888140827</v>
      </c>
      <c r="AX44" s="35">
        <v>9.689378703674848</v>
      </c>
      <c r="AY44" s="35">
        <v>9.399257151222917</v>
      </c>
      <c r="AZ44" s="35">
        <v>6.510533003300418</v>
      </c>
      <c r="BA44" s="35">
        <f>+SUM(AX44:AZ44)</f>
        <v>25.599168858198183</v>
      </c>
      <c r="BB44" s="35">
        <v>4.46341452108457</v>
      </c>
      <c r="BC44" s="35">
        <v>1.5146557927345108</v>
      </c>
      <c r="BD44" s="35">
        <v>-0.9215641774831336</v>
      </c>
      <c r="BE44" s="35">
        <f>+SUM(BB44:BD44)</f>
        <v>5.056506136335948</v>
      </c>
      <c r="BF44" s="35">
        <v>0.8868179860215857</v>
      </c>
      <c r="BG44" s="35">
        <v>0.41595000728022197</v>
      </c>
      <c r="BH44" s="35">
        <v>0.9661708889050422</v>
      </c>
      <c r="BI44" s="35">
        <f>+SUM(BF44:BH44)</f>
        <v>2.26893888220685</v>
      </c>
      <c r="BJ44" s="35">
        <v>1.193448957048311</v>
      </c>
      <c r="BK44" s="35">
        <v>1.2859368789510985</v>
      </c>
      <c r="BL44" s="35">
        <v>-0.3075644455479724</v>
      </c>
      <c r="BM44" s="35">
        <f>+SUM(BJ44:BL44)</f>
        <v>2.1718213904514374</v>
      </c>
      <c r="BN44" s="35">
        <v>-2.7107723550545386</v>
      </c>
      <c r="BO44" s="35">
        <v>-3.049870727401041</v>
      </c>
      <c r="BP44" s="35">
        <v>-2.1096986349754006</v>
      </c>
      <c r="BQ44" s="35">
        <f>+SUM(BN44:BP44)</f>
        <v>-7.87034171743098</v>
      </c>
      <c r="BR44" s="35">
        <v>-2.712254179830875</v>
      </c>
      <c r="BS44" s="35">
        <v>-5.312932908104858</v>
      </c>
      <c r="BT44" s="35">
        <v>-5.947573886116344</v>
      </c>
      <c r="BU44" s="35">
        <f>+SUM(BR44:BT44)</f>
        <v>-13.972760974052076</v>
      </c>
      <c r="BV44" s="35">
        <v>-5.63326472788809</v>
      </c>
      <c r="BW44" s="35">
        <v>-5.057185148141101</v>
      </c>
      <c r="BX44" s="35">
        <v>-4.855972561766212</v>
      </c>
      <c r="BY44" s="35">
        <f>+SUM(BV44:BX44)</f>
        <v>-15.546422437795403</v>
      </c>
      <c r="BZ44" s="35">
        <v>-3.6434714934357806</v>
      </c>
      <c r="CA44" s="35">
        <v>-2.5838572152188943</v>
      </c>
      <c r="CB44" s="35">
        <v>-2.6122424101483723</v>
      </c>
      <c r="CC44" s="35">
        <f>+SUM(BZ44:CB44)</f>
        <v>-8.839571118803047</v>
      </c>
      <c r="CD44" s="35">
        <v>-2.2198619492998226</v>
      </c>
      <c r="CE44" s="35">
        <v>-1.150965755891533</v>
      </c>
      <c r="CF44" s="35">
        <v>0.20278072043467577</v>
      </c>
      <c r="CG44" s="35">
        <f>+SUM(CD44:CF44)</f>
        <v>-3.1680469847566797</v>
      </c>
      <c r="CH44" s="35">
        <v>0.8188049632213142</v>
      </c>
      <c r="CI44" s="35">
        <f>168.566046209714/CI83</f>
        <v>3.5767326821289447</v>
      </c>
      <c r="CJ44" s="35">
        <f>185.527974108368/CJ83</f>
        <v>3.920941520385145</v>
      </c>
      <c r="CK44" s="35">
        <f>+SUM(CH44:CJ44)</f>
        <v>8.316479165735403</v>
      </c>
      <c r="CL44" s="35">
        <f>214.717914765553/CL83</f>
        <v>4.53028549667689</v>
      </c>
      <c r="CM44" s="35">
        <f>155.251183790628/CM83</f>
        <v>3.272565962846447</v>
      </c>
      <c r="CN44" s="35">
        <f>174.95926494252/CN83</f>
        <v>3.68299627704517</v>
      </c>
      <c r="CO44" s="35">
        <f>+SUM(CL44:CN44)</f>
        <v>11.485847736568507</v>
      </c>
      <c r="CP44" s="35">
        <f>192.276336080185/CP83</f>
        <v>4.044729657221877</v>
      </c>
      <c r="CQ44" s="35">
        <f>160.791326266697/CQ83</f>
        <v>3.379303399372589</v>
      </c>
      <c r="CR44" s="35">
        <f>194.903330211388/CR83</f>
        <v>4.0842598419003115</v>
      </c>
      <c r="CS44" s="35">
        <f>+SUM(CP44:CR44)</f>
        <v>11.508292898494776</v>
      </c>
      <c r="CT44" s="35">
        <f>225.965038085316/CT83</f>
        <v>4.724198708072856</v>
      </c>
      <c r="CU44" s="35">
        <f>253.268106514374/CU83</f>
        <v>5.2793308976001185</v>
      </c>
      <c r="CV44" s="35">
        <f>267.624051439771/CV83</f>
        <v>5.552496385076476</v>
      </c>
      <c r="CW44" s="35">
        <f>+SUM(CT44:CV44)</f>
        <v>15.55602599074945</v>
      </c>
      <c r="CX44" s="35">
        <f>365.995786480246/CX83</f>
        <v>7.5580393163044075</v>
      </c>
      <c r="CY44" s="35">
        <f>372.783630174204/CY83</f>
        <v>7.6332682219356345</v>
      </c>
      <c r="CZ44" s="35">
        <f>378.712143802953/CZ83</f>
        <v>7.696945380182682</v>
      </c>
      <c r="DA44" s="35">
        <f>+SUM(CX44:CZ44)</f>
        <v>22.888252918422726</v>
      </c>
      <c r="DB44" s="35">
        <f>436.663690487779/DB83</f>
        <v>8.842800739717724</v>
      </c>
      <c r="DC44" s="35">
        <f>446.285568008594/DC83</f>
        <v>9.033791643393439</v>
      </c>
      <c r="DD44" s="35">
        <f>505.152889137376/DD83</f>
        <v>10.22243538315197</v>
      </c>
      <c r="DE44" s="35">
        <f>+SUM(DB44:DD44)</f>
        <v>28.099027766263134</v>
      </c>
      <c r="DF44" s="35">
        <f>616.898512814176/DF83</f>
        <v>12.441458306476795</v>
      </c>
      <c r="DG44" s="35">
        <f>644.321874272993/DG83</f>
        <v>12.957027370574751</v>
      </c>
      <c r="DH44" s="35">
        <f>679.098250282563/DH83</f>
        <v>13.63081785685021</v>
      </c>
      <c r="DI44" s="35">
        <f>+SUM(DF44:DH44)</f>
        <v>39.029303533901754</v>
      </c>
      <c r="DJ44" s="35">
        <f>628.431791689279/DJ83</f>
        <v>12.574420067016407</v>
      </c>
      <c r="DK44" s="35">
        <f>676.669840200255/DK83</f>
        <v>13.496282028426924</v>
      </c>
      <c r="DL44" s="35">
        <f>740.993214121241/DL83</f>
        <v>14.757881181462675</v>
      </c>
      <c r="DM44" s="35">
        <f>+SUM(DJ44:DL44)</f>
        <v>40.828583276906</v>
      </c>
      <c r="DN44" s="35">
        <f>659.096238954064/DN83</f>
        <v>13.08351061225589</v>
      </c>
      <c r="DO44" s="35">
        <f>547.140256631877/DO83</f>
        <v>10.836670779027743</v>
      </c>
      <c r="DP44" s="35">
        <f>615.271085476929/DP83</f>
        <v>12.173172364965593</v>
      </c>
      <c r="DQ44" s="35">
        <f>+SUM(DN44:DP44)</f>
        <v>36.09335375624923</v>
      </c>
      <c r="DR44" s="35">
        <f>704.32971123728/DR83</f>
        <v>13.932666129348558</v>
      </c>
      <c r="DS44" s="35">
        <f>725.639900181141/DS83</f>
        <v>14.350720961088289</v>
      </c>
      <c r="DT44" s="35">
        <f>793.125470402799/DT83</f>
        <v>15.634958226034279</v>
      </c>
      <c r="DU44" s="35">
        <f>+SUM(DR44:DT44)</f>
        <v>43.918345316471125</v>
      </c>
      <c r="DV44" s="35">
        <f>715.15193741449/DV83</f>
        <v>14.04425922775911</v>
      </c>
      <c r="DW44" s="35">
        <f>572.588305185269/DW83</f>
        <v>11.188697449277955</v>
      </c>
      <c r="DX44" s="35">
        <f>663.283345485545/DX83</f>
        <v>12.839473428718035</v>
      </c>
      <c r="DY44" s="35">
        <f>+SUM(DV44:DX44)</f>
        <v>38.0724301057551</v>
      </c>
      <c r="DZ44" s="35">
        <f>475.093569088765/DZ83</f>
        <v>9.006752199845398</v>
      </c>
      <c r="EA44" s="35">
        <f>609.291289858377/EA83</f>
        <v>11.524525476287225</v>
      </c>
      <c r="EB44" s="35">
        <f>519.462162535932/EB83</f>
        <v>9.817807578424045</v>
      </c>
      <c r="EC44" s="35">
        <f>+SUM(DZ44:EB44)</f>
        <v>30.34908525455667</v>
      </c>
      <c r="ED44" s="35">
        <f>414.301676812126/ED83</f>
        <v>7.801028022055298</v>
      </c>
      <c r="EE44" s="35">
        <f>399.393813693679/EE83</f>
        <v>7.4834610642957875</v>
      </c>
      <c r="EF44" s="35">
        <f>406.633257483878/EF83</f>
        <v>7.566832545583888</v>
      </c>
      <c r="EG44" s="35">
        <f>+SUM(ED44:EF44)</f>
        <v>22.851321631934972</v>
      </c>
      <c r="EH44" s="35">
        <f>365.219512925278/EH83</f>
        <v>6.738131189594424</v>
      </c>
      <c r="EI44" s="35">
        <f>362.344597435087/EI83</f>
        <v>6.5415316716148535</v>
      </c>
      <c r="EJ44" s="35">
        <f>368.633626865972/EJ83</f>
        <v>6.362850056286444</v>
      </c>
      <c r="EK44" s="35">
        <f>+SUM(EH44:EJ44)</f>
        <v>19.642512917495722</v>
      </c>
      <c r="EL44" s="35">
        <f>292.51022259711/EL83</f>
        <v>5.013441081650418</v>
      </c>
      <c r="EM44" s="35">
        <f>307.177420303924/EM83</f>
        <v>5.25244936201516</v>
      </c>
      <c r="EN44" s="35">
        <f>310.187608326996/EN83</f>
        <v>5.304945808155713</v>
      </c>
      <c r="EO44" s="35">
        <f>+SUM(EL44:EN44)</f>
        <v>15.570836251821293</v>
      </c>
      <c r="EP44" s="35">
        <f>430.99022358053/EP83</f>
        <v>7.369142998480487</v>
      </c>
      <c r="EQ44" s="35">
        <f>417.471570013902/EQ83</f>
        <v>7.142664027503302</v>
      </c>
      <c r="ER44" s="35">
        <f>341.217619444185/ER83</f>
        <v>5.851243744262836</v>
      </c>
      <c r="ES44" s="35">
        <f>+SUM(EP44:ER44)</f>
        <v>20.363050770246623</v>
      </c>
      <c r="ET44" s="35">
        <f>476.996573078013/ET83</f>
        <v>8.180847299666642</v>
      </c>
      <c r="EU44" s="35">
        <f>471.440216684001/EU83</f>
        <v>8.114736382795627</v>
      </c>
      <c r="EV44" s="35">
        <f>474.994771857502/EV83</f>
        <v>8.26770913805141</v>
      </c>
      <c r="EW44" s="35">
        <f>+SUM(ET44:EV44)</f>
        <v>24.56329282051368</v>
      </c>
      <c r="EX44" s="35">
        <f>610.962337389392/EX83</f>
        <v>10.70052170254555</v>
      </c>
      <c r="EY44" s="35">
        <f>620.396617951852/EY83</f>
        <v>10.876474963191303</v>
      </c>
      <c r="EZ44" s="35">
        <f>640.284152835778/EZ83</f>
        <v>11.208318357655875</v>
      </c>
      <c r="FA44" s="35">
        <f>+SUM(EX44:EZ44)</f>
        <v>32.78531502339273</v>
      </c>
      <c r="FB44" s="35">
        <f>811.69307675554/FB83</f>
        <v>14.19153006097567</v>
      </c>
      <c r="FC44" s="35">
        <f>818.123887899757/FC83</f>
        <v>14.306522793077468</v>
      </c>
      <c r="FD44" s="35">
        <f>839.223675915372/FD83</f>
        <v>14.785737520311704</v>
      </c>
      <c r="FE44" s="35">
        <f>+SUM(FB44:FD44)</f>
        <v>43.28379037436484</v>
      </c>
      <c r="FF44" s="35">
        <f>880.411885314532/FF83</f>
        <v>15.578623481830764</v>
      </c>
      <c r="FG44" s="35">
        <f>838.160261093845/FG83</f>
        <v>14.77673868674094</v>
      </c>
      <c r="FH44" s="35">
        <f>818.250368441784/FH83</f>
        <v>14.31506187780959</v>
      </c>
      <c r="FI44" s="35">
        <f>+SUM(FF44:FH44)</f>
        <v>44.67042404638129</v>
      </c>
      <c r="FJ44" s="35">
        <f>765.407039489001/FJ83</f>
        <v>13.234871672534194</v>
      </c>
      <c r="FK44" s="35"/>
      <c r="FL44" s="35"/>
      <c r="FM44" s="35">
        <f>+SUM(FJ44:FL44)</f>
        <v>13.234871672534194</v>
      </c>
      <c r="FN44" s="35"/>
      <c r="FO44" s="35"/>
      <c r="FP44" s="35"/>
      <c r="FQ44" s="35">
        <f>+SUM(FN44:FP44)</f>
        <v>0</v>
      </c>
      <c r="FR44" s="35"/>
      <c r="FS44" s="35"/>
      <c r="FT44" s="35"/>
      <c r="FU44" s="35">
        <f>+SUM(FR44:FT44)</f>
        <v>0</v>
      </c>
      <c r="FV44" s="35"/>
      <c r="FW44" s="35"/>
      <c r="FX44" s="35"/>
      <c r="FY44" s="35">
        <f>+SUM(FV44:FX44)</f>
        <v>0</v>
      </c>
      <c r="FZ44" s="58"/>
      <c r="GA44" s="16">
        <f>+AO44+AS44+AW44+BA44</f>
        <v>112.20755362343857</v>
      </c>
      <c r="GB44" s="16">
        <f>+BE44+BI44+BM44+BQ44</f>
        <v>1.6269246915632554</v>
      </c>
      <c r="GC44" s="28">
        <f>+BU44+BY44+CC44+CG44</f>
        <v>-41.52680151540721</v>
      </c>
      <c r="GD44" s="35">
        <f>+CK44+CO44+CS44+CW44</f>
        <v>46.86664579154814</v>
      </c>
      <c r="GE44" s="35">
        <f>+DA44+DE44+DI44+DM44</f>
        <v>130.84516749549363</v>
      </c>
      <c r="GF44" s="35">
        <f>+DQ44+DU44+DY44+EC44</f>
        <v>148.4332144330321</v>
      </c>
      <c r="GG44" s="35">
        <f>+EG44+EK44+EO44+ES44</f>
        <v>78.42772157149861</v>
      </c>
      <c r="GH44" s="35">
        <f>+EW44+FA44+FE44+FI44</f>
        <v>145.30282226465255</v>
      </c>
      <c r="GI44" s="35">
        <f>+FM44+FQ44+FU44+FY44</f>
        <v>13.234871672534194</v>
      </c>
      <c r="GJ44" s="33"/>
      <c r="GK44" s="33"/>
      <c r="GL44" s="33"/>
      <c r="GM44" s="33"/>
      <c r="GN44" s="33"/>
      <c r="GO44" s="33"/>
      <c r="GP44" s="33"/>
      <c r="GQ44" s="33"/>
      <c r="GR44" s="33"/>
      <c r="GS44" s="33"/>
      <c r="GT44" s="33"/>
      <c r="GU44" s="33"/>
      <c r="GV44" s="33"/>
      <c r="GW44" s="33"/>
    </row>
    <row r="45" spans="1:205" s="32" customFormat="1" ht="15" customHeight="1" outlineLevel="1">
      <c r="A45" s="21"/>
      <c r="B45" s="1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4"/>
      <c r="AK45" s="19"/>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75"/>
      <c r="CI45" s="75"/>
      <c r="CJ45" s="75"/>
      <c r="CK45" s="35"/>
      <c r="CL45" s="75"/>
      <c r="CM45" s="75"/>
      <c r="CN45" s="75"/>
      <c r="CO45" s="35"/>
      <c r="CP45" s="75"/>
      <c r="CQ45" s="75"/>
      <c r="CR45" s="75"/>
      <c r="CS45" s="35"/>
      <c r="CT45" s="75"/>
      <c r="CU45" s="75"/>
      <c r="CV45" s="75"/>
      <c r="CW45" s="35"/>
      <c r="CX45" s="75"/>
      <c r="CY45" s="75"/>
      <c r="CZ45" s="75"/>
      <c r="DA45" s="35"/>
      <c r="DB45" s="75"/>
      <c r="DC45" s="75"/>
      <c r="DD45" s="75"/>
      <c r="DE45" s="35"/>
      <c r="DF45" s="75"/>
      <c r="DG45" s="75"/>
      <c r="DH45" s="75"/>
      <c r="DI45" s="35"/>
      <c r="DJ45" s="75"/>
      <c r="DK45" s="75"/>
      <c r="DL45" s="75"/>
      <c r="DM45" s="35"/>
      <c r="DN45" s="75"/>
      <c r="DO45" s="75"/>
      <c r="DP45" s="75"/>
      <c r="DQ45" s="35"/>
      <c r="DR45" s="75"/>
      <c r="DS45" s="75"/>
      <c r="DT45" s="75"/>
      <c r="DU45" s="35"/>
      <c r="DV45" s="75"/>
      <c r="DW45" s="75"/>
      <c r="DX45" s="75"/>
      <c r="DY45" s="35"/>
      <c r="DZ45" s="75"/>
      <c r="EA45" s="75"/>
      <c r="EB45" s="75"/>
      <c r="EC45" s="35"/>
      <c r="ED45" s="75"/>
      <c r="EE45" s="75"/>
      <c r="EF45" s="75"/>
      <c r="EG45" s="35"/>
      <c r="EH45" s="75"/>
      <c r="EI45" s="75"/>
      <c r="EJ45" s="75"/>
      <c r="EK45" s="35"/>
      <c r="EL45" s="75"/>
      <c r="EM45" s="75"/>
      <c r="EN45" s="75"/>
      <c r="EO45" s="35"/>
      <c r="EP45" s="75"/>
      <c r="EQ45" s="75"/>
      <c r="ER45" s="75"/>
      <c r="ES45" s="35"/>
      <c r="ET45" s="75"/>
      <c r="EU45" s="75"/>
      <c r="EV45" s="75"/>
      <c r="EW45" s="35"/>
      <c r="EX45" s="75"/>
      <c r="EY45" s="75"/>
      <c r="EZ45" s="75"/>
      <c r="FA45" s="35"/>
      <c r="FB45" s="75"/>
      <c r="FC45" s="75"/>
      <c r="FD45" s="75"/>
      <c r="FE45" s="35"/>
      <c r="FF45" s="35"/>
      <c r="FG45" s="75"/>
      <c r="FH45" s="75"/>
      <c r="FI45" s="35"/>
      <c r="FJ45" s="75"/>
      <c r="FK45" s="75"/>
      <c r="FL45" s="75"/>
      <c r="FM45" s="35"/>
      <c r="FN45" s="75"/>
      <c r="FO45" s="75"/>
      <c r="FP45" s="75"/>
      <c r="FQ45" s="35"/>
      <c r="FR45" s="75"/>
      <c r="FS45" s="75"/>
      <c r="FT45" s="75"/>
      <c r="FU45" s="35"/>
      <c r="FV45" s="35"/>
      <c r="FW45" s="75"/>
      <c r="FX45" s="75"/>
      <c r="FY45" s="35"/>
      <c r="FZ45" s="33"/>
      <c r="GA45" s="35"/>
      <c r="GB45" s="35"/>
      <c r="GC45" s="35"/>
      <c r="GD45" s="35"/>
      <c r="GE45" s="35"/>
      <c r="GF45" s="35"/>
      <c r="GG45" s="35"/>
      <c r="GH45" s="35"/>
      <c r="GI45" s="35"/>
      <c r="GJ45" s="33"/>
      <c r="GK45" s="33"/>
      <c r="GL45" s="33"/>
      <c r="GM45" s="33"/>
      <c r="GN45" s="33"/>
      <c r="GO45" s="33"/>
      <c r="GP45" s="33"/>
      <c r="GQ45" s="33"/>
      <c r="GR45" s="33"/>
      <c r="GS45" s="33"/>
      <c r="GT45" s="33"/>
      <c r="GU45" s="33"/>
      <c r="GV45" s="33"/>
      <c r="GW45" s="33"/>
    </row>
    <row r="46" spans="1:205" ht="15" customHeight="1">
      <c r="A46" s="21"/>
      <c r="B46" s="36" t="s">
        <v>18</v>
      </c>
      <c r="C46" s="35">
        <f aca="true" t="shared" si="84" ref="C46:R46">+FJ46</f>
        <v>0.5476765626999305</v>
      </c>
      <c r="D46" s="35">
        <f t="shared" si="84"/>
        <v>0</v>
      </c>
      <c r="E46" s="35">
        <f t="shared" si="84"/>
        <v>0</v>
      </c>
      <c r="F46" s="35">
        <f t="shared" si="84"/>
        <v>0.5476765626999305</v>
      </c>
      <c r="G46" s="35">
        <f t="shared" si="84"/>
        <v>0</v>
      </c>
      <c r="H46" s="35">
        <f t="shared" si="84"/>
        <v>0</v>
      </c>
      <c r="I46" s="35">
        <f t="shared" si="84"/>
        <v>0</v>
      </c>
      <c r="J46" s="35">
        <f t="shared" si="84"/>
        <v>0</v>
      </c>
      <c r="K46" s="35">
        <f t="shared" si="84"/>
        <v>0</v>
      </c>
      <c r="L46" s="35">
        <f t="shared" si="84"/>
        <v>0</v>
      </c>
      <c r="M46" s="35">
        <f t="shared" si="84"/>
        <v>0</v>
      </c>
      <c r="N46" s="35">
        <f t="shared" si="84"/>
        <v>0</v>
      </c>
      <c r="O46" s="35">
        <f t="shared" si="84"/>
        <v>0</v>
      </c>
      <c r="P46" s="35">
        <f t="shared" si="84"/>
        <v>0</v>
      </c>
      <c r="Q46" s="35">
        <f t="shared" si="84"/>
        <v>0</v>
      </c>
      <c r="R46" s="35">
        <f t="shared" si="84"/>
        <v>0</v>
      </c>
      <c r="S46" s="35">
        <f aca="true" t="shared" si="85" ref="S46:AH46">+ET46</f>
        <v>0.5663528970183428</v>
      </c>
      <c r="T46" s="35">
        <f t="shared" si="85"/>
        <v>0.5598384270734343</v>
      </c>
      <c r="U46" s="35">
        <f t="shared" si="85"/>
        <v>0.6610746117615114</v>
      </c>
      <c r="V46" s="35">
        <f t="shared" si="85"/>
        <v>1.7872659358532885</v>
      </c>
      <c r="W46" s="35">
        <f t="shared" si="85"/>
        <v>0.6318186274114876</v>
      </c>
      <c r="X46" s="35">
        <f t="shared" si="85"/>
        <v>0.5476157438760013</v>
      </c>
      <c r="Y46" s="35">
        <f t="shared" si="85"/>
        <v>0.5550538334692906</v>
      </c>
      <c r="Z46" s="35">
        <f t="shared" si="85"/>
        <v>1.7344882047567793</v>
      </c>
      <c r="AA46" s="35">
        <f t="shared" si="85"/>
        <v>0.5583144927232165</v>
      </c>
      <c r="AB46" s="35">
        <f t="shared" si="85"/>
        <v>0.5741706168135394</v>
      </c>
      <c r="AC46" s="35">
        <f t="shared" si="85"/>
        <v>0.5596615357916805</v>
      </c>
      <c r="AD46" s="35">
        <f t="shared" si="85"/>
        <v>1.6921466453284366</v>
      </c>
      <c r="AE46" s="35">
        <f t="shared" si="85"/>
        <v>0.6014059864706329</v>
      </c>
      <c r="AF46" s="35">
        <f t="shared" si="85"/>
        <v>0.5837370361555386</v>
      </c>
      <c r="AG46" s="35">
        <f t="shared" si="85"/>
        <v>0.5934558296783946</v>
      </c>
      <c r="AH46" s="35">
        <f t="shared" si="85"/>
        <v>1.7785988523045662</v>
      </c>
      <c r="AI46" s="35">
        <f>+C46-S46</f>
        <v>-0.018676334318412313</v>
      </c>
      <c r="AJ46" s="34">
        <f>+(AI46/S46)</f>
        <v>-0.03297649648609007</v>
      </c>
      <c r="AK46" s="19"/>
      <c r="AL46" s="35">
        <v>0.5503809584539622</v>
      </c>
      <c r="AM46" s="35">
        <v>0.4929184464715378</v>
      </c>
      <c r="AN46" s="35">
        <v>0.6258833984668744</v>
      </c>
      <c r="AO46" s="35">
        <f>+SUM(AL46:AN46)</f>
        <v>1.6691828033923743</v>
      </c>
      <c r="AP46" s="35">
        <v>0.5684891191937709</v>
      </c>
      <c r="AQ46" s="35">
        <v>0.5412760984604859</v>
      </c>
      <c r="AR46" s="35">
        <v>0.5701042167746446</v>
      </c>
      <c r="AS46" s="35">
        <f>+SUM(AP46:AR46)</f>
        <v>1.6798694344289014</v>
      </c>
      <c r="AT46" s="35">
        <v>0.6173948520822771</v>
      </c>
      <c r="AU46" s="35">
        <v>0.5859541113170159</v>
      </c>
      <c r="AV46" s="35">
        <v>0.6342392659306679</v>
      </c>
      <c r="AW46" s="35">
        <f>+SUM(AT46:AV46)</f>
        <v>1.8375882293299608</v>
      </c>
      <c r="AX46" s="35">
        <v>0.6704221066536091</v>
      </c>
      <c r="AY46" s="35">
        <v>0.5403376259983602</v>
      </c>
      <c r="AZ46" s="35">
        <v>0.6067065212638203</v>
      </c>
      <c r="BA46" s="35">
        <f>+SUM(AX46:AZ46)</f>
        <v>1.8174662539157895</v>
      </c>
      <c r="BB46" s="35">
        <v>0.5605290353009045</v>
      </c>
      <c r="BC46" s="35">
        <v>0.6314889725656564</v>
      </c>
      <c r="BD46" s="35">
        <v>0.6228134835226714</v>
      </c>
      <c r="BE46" s="35">
        <f>+SUM(BB46:BD46)</f>
        <v>1.8148314913892323</v>
      </c>
      <c r="BF46" s="35">
        <v>0.5611897182706023</v>
      </c>
      <c r="BG46" s="35">
        <v>0.5733834217892557</v>
      </c>
      <c r="BH46" s="35">
        <v>0.5176532981260107</v>
      </c>
      <c r="BI46" s="35">
        <f>+SUM(BF46:BH46)</f>
        <v>1.6522264381858687</v>
      </c>
      <c r="BJ46" s="35">
        <v>0.6171415192907315</v>
      </c>
      <c r="BK46" s="35">
        <v>0.5716517671503857</v>
      </c>
      <c r="BL46" s="35">
        <v>0.6099672531739054</v>
      </c>
      <c r="BM46" s="35">
        <f>+SUM(BJ46:BL46)</f>
        <v>1.7987605396150226</v>
      </c>
      <c r="BN46" s="35">
        <v>0.5677930564103247</v>
      </c>
      <c r="BO46" s="35">
        <v>0.5651181063228946</v>
      </c>
      <c r="BP46" s="35">
        <v>0.6349427478216562</v>
      </c>
      <c r="BQ46" s="35">
        <f>+SUM(BN46:BP46)</f>
        <v>1.7678539105548756</v>
      </c>
      <c r="BR46" s="35">
        <v>0.4960237696041248</v>
      </c>
      <c r="BS46" s="35">
        <v>0.6052989751814747</v>
      </c>
      <c r="BT46" s="35">
        <v>0.6140870447986673</v>
      </c>
      <c r="BU46" s="35">
        <f>+SUM(BR46:BT46)</f>
        <v>1.7154097895842668</v>
      </c>
      <c r="BV46" s="35">
        <v>0.612215491074836</v>
      </c>
      <c r="BW46" s="35">
        <v>0.6165793507766717</v>
      </c>
      <c r="BX46" s="35">
        <v>0.5786396717358852</v>
      </c>
      <c r="BY46" s="35">
        <f>+SUM(BV46:BX46)</f>
        <v>1.8074345135873928</v>
      </c>
      <c r="BZ46" s="35">
        <v>0.5823515759492964</v>
      </c>
      <c r="CA46" s="35">
        <v>0.554783209400494</v>
      </c>
      <c r="CB46" s="35">
        <v>0.5518697556665353</v>
      </c>
      <c r="CC46" s="35">
        <f>+SUM(BZ46:CB46)</f>
        <v>1.6890045410163257</v>
      </c>
      <c r="CD46" s="35">
        <v>0.5414532182242213</v>
      </c>
      <c r="CE46" s="35">
        <v>0.5098722112158799</v>
      </c>
      <c r="CF46" s="35">
        <v>0.5217225896160831</v>
      </c>
      <c r="CG46" s="35">
        <f>+SUM(CD46:CF46)</f>
        <v>1.5730480190561842</v>
      </c>
      <c r="CH46" s="35">
        <v>0.46847872252195233</v>
      </c>
      <c r="CI46" s="35">
        <v>0.5377222432286197</v>
      </c>
      <c r="CJ46" s="35">
        <v>0.592660842568876</v>
      </c>
      <c r="CK46" s="35">
        <f>+SUM(CH46:CJ46)</f>
        <v>1.5988618083194481</v>
      </c>
      <c r="CL46" s="35">
        <f>23.98845317/CL83</f>
        <v>0.5061270346371598</v>
      </c>
      <c r="CM46" s="35">
        <f>25.08030255/CM83</f>
        <v>0.5286719396208279</v>
      </c>
      <c r="CN46" s="35">
        <f>27.55411436/CN83</f>
        <v>0.5800304467356845</v>
      </c>
      <c r="CO46" s="35">
        <f>+SUM(CL46:CN46)</f>
        <v>1.6148294209936722</v>
      </c>
      <c r="CP46" s="35">
        <f>27.88342328/CP83</f>
        <v>0.5865563666579016</v>
      </c>
      <c r="CQ46" s="35">
        <f>28.28807097/CQ83</f>
        <v>0.5945219596737253</v>
      </c>
      <c r="CR46" s="35">
        <f>26.66734156/CR83</f>
        <v>0.5588224280499408</v>
      </c>
      <c r="CS46" s="35">
        <f>+SUM(CP46:CR46)</f>
        <v>1.7399007543815677</v>
      </c>
      <c r="CT46" s="35">
        <f>26.88077373/CT83</f>
        <v>0.5619901096350932</v>
      </c>
      <c r="CU46" s="35">
        <f>25.15684317/CU83</f>
        <v>0.524390146320788</v>
      </c>
      <c r="CV46" s="35">
        <f>25.78163547/CV83</f>
        <v>0.5349012429129563</v>
      </c>
      <c r="CW46" s="35">
        <f>+SUM(CT46:CV46)</f>
        <v>1.6212814988688373</v>
      </c>
      <c r="CX46" s="35">
        <f>25.48201524/CX83</f>
        <v>0.526219372345105</v>
      </c>
      <c r="CY46" s="35">
        <f>24.59898474/CY83</f>
        <v>0.5036987499155348</v>
      </c>
      <c r="CZ46" s="35">
        <f>24.33001749/CZ83</f>
        <v>0.49448326066051845</v>
      </c>
      <c r="DA46" s="35">
        <f>+SUM(CX46:CZ46)</f>
        <v>1.5244013829211582</v>
      </c>
      <c r="DB46" s="35">
        <f>23.0784705300029/DB83</f>
        <v>0.46735810812732304</v>
      </c>
      <c r="DC46" s="35">
        <f>28.24351564/DC83</f>
        <v>0.5717102542822325</v>
      </c>
      <c r="DD46" s="35">
        <f>27.39110317/DD83</f>
        <v>0.554295121832763</v>
      </c>
      <c r="DE46" s="35">
        <f>+SUM(DB46:DD46)</f>
        <v>1.5933634842423186</v>
      </c>
      <c r="DF46" s="35">
        <f>28.50959489/DF83</f>
        <v>0.5749745359903679</v>
      </c>
      <c r="DG46" s="35">
        <f>29.42969853/DG83</f>
        <v>0.59181819613253</v>
      </c>
      <c r="DH46" s="35">
        <f>27.83604743/DH83</f>
        <v>0.558723413313315</v>
      </c>
      <c r="DI46" s="35">
        <f>+SUM(DF46:DH46)</f>
        <v>1.725516145436213</v>
      </c>
      <c r="DJ46" s="35">
        <f>29.6357994299989/DJ83</f>
        <v>0.5929887634311564</v>
      </c>
      <c r="DK46" s="35">
        <f>29.08267234/DK83</f>
        <v>0.5800582865120917</v>
      </c>
      <c r="DL46" s="35">
        <f>26.80864758/DL83</f>
        <v>0.5339304437363075</v>
      </c>
      <c r="DM46" s="35">
        <f>+SUM(DJ46:DL46)</f>
        <v>1.7069774936795556</v>
      </c>
      <c r="DN46" s="35">
        <f>29.49866893/DN83</f>
        <v>0.5855687306083639</v>
      </c>
      <c r="DO46" s="35">
        <f>24.20688456/DO83</f>
        <v>0.4794420359003915</v>
      </c>
      <c r="DP46" s="35">
        <f>26.85391807/DP83</f>
        <v>0.5313062502967758</v>
      </c>
      <c r="DQ46" s="35">
        <f>+SUM(DN46:DP46)</f>
        <v>1.5963170168055312</v>
      </c>
      <c r="DR46" s="35">
        <f>24.382101009999/DR83</f>
        <v>0.4823134215190377</v>
      </c>
      <c r="DS46" s="35">
        <f>28.99653624/DS83</f>
        <v>0.5734541338127191</v>
      </c>
      <c r="DT46" s="35">
        <f>28.85815086/DT83</f>
        <v>0.5688834869312033</v>
      </c>
      <c r="DU46" s="35">
        <f>+SUM(DR46:DT46)</f>
        <v>1.6246510422629603</v>
      </c>
      <c r="DV46" s="35">
        <f>30.30805948/DV83</f>
        <v>0.5951941423333654</v>
      </c>
      <c r="DW46" s="35">
        <f>26.40871531/DW83</f>
        <v>0.5160411467574391</v>
      </c>
      <c r="DX46" s="35">
        <f>25.16901615/DX83</f>
        <v>0.48720794255483485</v>
      </c>
      <c r="DY46" s="35">
        <f>+SUM(DV46:DX46)</f>
        <v>1.5984432316456392</v>
      </c>
      <c r="DZ46" s="35">
        <f>27.55109662/DZ83</f>
        <v>0.5223095327648506</v>
      </c>
      <c r="EA46" s="35">
        <f>25.29/EA83</f>
        <v>0.47835124864996753</v>
      </c>
      <c r="EB46" s="35">
        <f>24.34309031/EB83</f>
        <v>0.4600831278279046</v>
      </c>
      <c r="EC46" s="35">
        <f>+SUM(DZ46:EB46)</f>
        <v>1.4607439092427228</v>
      </c>
      <c r="ED46" s="35">
        <f>26.4369856/ED83</f>
        <v>0.497791047024399</v>
      </c>
      <c r="EE46" s="35">
        <f>25.61354096/EE83</f>
        <v>0.4799221468160135</v>
      </c>
      <c r="EF46" s="35">
        <f>21.43802482/EF83</f>
        <v>0.3989293569462717</v>
      </c>
      <c r="EG46" s="35">
        <f>+SUM(ED46:EF46)</f>
        <v>1.3766425507866842</v>
      </c>
      <c r="EH46" s="35">
        <f>5.45968611/EH83</f>
        <v>0.10072868497229802</v>
      </c>
      <c r="EI46" s="35">
        <f>7.42342371/EI83</f>
        <v>0.13401762204963225</v>
      </c>
      <c r="EJ46" s="35">
        <f>17.45259807/EJ83</f>
        <v>0.3012429049301549</v>
      </c>
      <c r="EK46" s="35">
        <f>+SUM(EH46:EJ46)</f>
        <v>0.5359892119520852</v>
      </c>
      <c r="EL46" s="35">
        <f>18.66511461/EL83</f>
        <v>0.3199083148228132</v>
      </c>
      <c r="EM46" s="35">
        <f>21.54331743/EM83</f>
        <v>0.36837077340820445</v>
      </c>
      <c r="EN46" s="35">
        <f>26.86299358/EN83</f>
        <v>0.45942107731301113</v>
      </c>
      <c r="EO46" s="35">
        <f>+SUM(EL46:EN46)</f>
        <v>1.1477001655440289</v>
      </c>
      <c r="EP46" s="35">
        <f>33.7052258199999/EP83</f>
        <v>0.5762975939458792</v>
      </c>
      <c r="EQ46" s="35">
        <f>30.48491647/EQ83</f>
        <v>0.5215768734729912</v>
      </c>
      <c r="ER46" s="35">
        <f>36.15443337/ER83</f>
        <v>0.6199808861810088</v>
      </c>
      <c r="ES46" s="35">
        <f>+SUM(EP46:ER46)</f>
        <v>1.717855353599879</v>
      </c>
      <c r="ET46" s="35">
        <f>33.02205519/ET83</f>
        <v>0.5663528970183428</v>
      </c>
      <c r="EU46" s="35">
        <f>32.5248211299999/EU83</f>
        <v>0.5598384270734343</v>
      </c>
      <c r="EV46" s="35">
        <f>37.97992638/EV83</f>
        <v>0.6610746117615114</v>
      </c>
      <c r="EW46" s="35">
        <f>+SUM(ET46:EV46)</f>
        <v>1.7872659358532885</v>
      </c>
      <c r="EX46" s="35">
        <f>36.07463226/EX83</f>
        <v>0.6318186274114876</v>
      </c>
      <c r="EY46" s="35">
        <f>31.2361272/EY83</f>
        <v>0.5476157438760013</v>
      </c>
      <c r="EZ46" s="35">
        <f>31.70789428/EZ83</f>
        <v>0.5550538334692906</v>
      </c>
      <c r="FA46" s="35">
        <f>+SUM(EX46:EZ46)</f>
        <v>1.7344882047567793</v>
      </c>
      <c r="FB46" s="75">
        <f>31.9331324/FB83</f>
        <v>0.5583144927232165</v>
      </c>
      <c r="FC46" s="75">
        <f>32.83416272/FC83</f>
        <v>0.5741706168135394</v>
      </c>
      <c r="FD46" s="75">
        <f>31.76582911/FD83</f>
        <v>0.5596615357916805</v>
      </c>
      <c r="FE46" s="75">
        <f>+SUM(FB46:FD46)</f>
        <v>1.6921466453284366</v>
      </c>
      <c r="FF46" s="35">
        <f>33.98791806/FF83</f>
        <v>0.6014059864706329</v>
      </c>
      <c r="FG46" s="35">
        <f>33.11049867/FG83</f>
        <v>0.5837370361555386</v>
      </c>
      <c r="FH46" s="35">
        <f>33.92199457/FH83</f>
        <v>0.5934558296783946</v>
      </c>
      <c r="FI46" s="35">
        <f>+SUM(FF46:FH46)</f>
        <v>1.7785988523045662</v>
      </c>
      <c r="FJ46" s="35">
        <f>31.67355958/FJ83</f>
        <v>0.5476765626999305</v>
      </c>
      <c r="FK46" s="35"/>
      <c r="FL46" s="35"/>
      <c r="FM46" s="35">
        <f>+SUM(FJ46:FL46)</f>
        <v>0.5476765626999305</v>
      </c>
      <c r="FN46" s="35"/>
      <c r="FO46" s="35"/>
      <c r="FP46" s="35"/>
      <c r="FQ46" s="35">
        <f>+SUM(FN46:FP46)</f>
        <v>0</v>
      </c>
      <c r="FR46" s="75"/>
      <c r="FS46" s="75"/>
      <c r="FT46" s="75"/>
      <c r="FU46" s="75">
        <f>+SUM(FR46:FT46)</f>
        <v>0</v>
      </c>
      <c r="FV46" s="35"/>
      <c r="FW46" s="35"/>
      <c r="FX46" s="35"/>
      <c r="FY46" s="35">
        <f>+SUM(FV46:FX46)</f>
        <v>0</v>
      </c>
      <c r="FZ46" s="33"/>
      <c r="GA46" s="16">
        <f>+AO46+AS46+AW46+BA46</f>
        <v>7.004106721067026</v>
      </c>
      <c r="GB46" s="16">
        <f>+BE46+BI46+BM46+BQ46</f>
        <v>7.033672379744999</v>
      </c>
      <c r="GC46" s="28">
        <f>+BU46+BY46+CC46+CG46</f>
        <v>6.784896863244169</v>
      </c>
      <c r="GD46" s="35">
        <f>+CK46+CO46+CS46+CW46</f>
        <v>6.574873482563525</v>
      </c>
      <c r="GE46" s="35">
        <f>+DA46+DE46+DI46+DM46</f>
        <v>6.5502585062792456</v>
      </c>
      <c r="GF46" s="35">
        <f>+DQ46+DU46+DY46+EC46</f>
        <v>6.2801551999568535</v>
      </c>
      <c r="GG46" s="35">
        <f>+EG46+EK46+EO46+ES46</f>
        <v>4.778187281882677</v>
      </c>
      <c r="GH46" s="35">
        <f>+EW46+FA46+FE46+FI46</f>
        <v>6.99249963824307</v>
      </c>
      <c r="GI46" s="35">
        <f>+FM46+FQ46+FU46+FY46</f>
        <v>0.5476765626999305</v>
      </c>
      <c r="GJ46" s="33"/>
      <c r="GK46" s="33"/>
      <c r="GL46" s="33"/>
      <c r="GM46" s="33"/>
      <c r="GN46" s="33"/>
      <c r="GO46" s="33"/>
      <c r="GP46" s="33"/>
      <c r="GQ46" s="33"/>
      <c r="GR46" s="33"/>
      <c r="GS46" s="33"/>
      <c r="GT46" s="33"/>
      <c r="GU46" s="33"/>
      <c r="GV46" s="33"/>
      <c r="GW46" s="33"/>
    </row>
    <row r="47" spans="1:205" s="32" customFormat="1" ht="15" customHeight="1" outlineLevel="1">
      <c r="A47" s="21"/>
      <c r="B47" s="1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4"/>
      <c r="AK47" s="19"/>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3"/>
      <c r="GA47" s="35"/>
      <c r="GB47" s="35"/>
      <c r="GC47" s="35"/>
      <c r="GD47" s="35"/>
      <c r="GE47" s="35"/>
      <c r="GF47" s="35"/>
      <c r="GG47" s="35"/>
      <c r="GH47" s="35"/>
      <c r="GI47" s="35"/>
      <c r="GJ47" s="33"/>
      <c r="GK47" s="33"/>
      <c r="GL47" s="33"/>
      <c r="GM47" s="33"/>
      <c r="GN47" s="33"/>
      <c r="GO47" s="33"/>
      <c r="GP47" s="33"/>
      <c r="GQ47" s="33"/>
      <c r="GR47" s="33"/>
      <c r="GS47" s="33"/>
      <c r="GT47" s="33"/>
      <c r="GU47" s="33"/>
      <c r="GV47" s="33"/>
      <c r="GW47" s="33"/>
    </row>
    <row r="48" spans="1:205" ht="15" customHeight="1">
      <c r="A48" s="51"/>
      <c r="B48" s="36" t="s">
        <v>19</v>
      </c>
      <c r="C48" s="35">
        <f aca="true" t="shared" si="86" ref="C48:R48">+FJ48</f>
        <v>109.57510200000002</v>
      </c>
      <c r="D48" s="35">
        <f t="shared" si="86"/>
        <v>0</v>
      </c>
      <c r="E48" s="35">
        <f t="shared" si="86"/>
        <v>0</v>
      </c>
      <c r="F48" s="35">
        <f t="shared" si="86"/>
        <v>109.57510200000002</v>
      </c>
      <c r="G48" s="35">
        <f t="shared" si="86"/>
        <v>0</v>
      </c>
      <c r="H48" s="35">
        <f t="shared" si="86"/>
        <v>0</v>
      </c>
      <c r="I48" s="35">
        <f t="shared" si="86"/>
        <v>0</v>
      </c>
      <c r="J48" s="35">
        <f t="shared" si="86"/>
        <v>0</v>
      </c>
      <c r="K48" s="35">
        <f t="shared" si="86"/>
        <v>0</v>
      </c>
      <c r="L48" s="35">
        <f t="shared" si="86"/>
        <v>0</v>
      </c>
      <c r="M48" s="35">
        <f t="shared" si="86"/>
        <v>0</v>
      </c>
      <c r="N48" s="35">
        <f t="shared" si="86"/>
        <v>0</v>
      </c>
      <c r="O48" s="35">
        <f t="shared" si="86"/>
        <v>0</v>
      </c>
      <c r="P48" s="35">
        <f t="shared" si="86"/>
        <v>0</v>
      </c>
      <c r="Q48" s="35">
        <f t="shared" si="86"/>
        <v>0</v>
      </c>
      <c r="R48" s="35">
        <f t="shared" si="86"/>
        <v>0</v>
      </c>
      <c r="S48" s="35">
        <f aca="true" t="shared" si="87" ref="S48:AH48">+ET48</f>
        <v>106.111312</v>
      </c>
      <c r="T48" s="35">
        <f t="shared" si="87"/>
        <v>92.68050000000005</v>
      </c>
      <c r="U48" s="35">
        <f t="shared" si="87"/>
        <v>130.22771999999998</v>
      </c>
      <c r="V48" s="35">
        <f t="shared" si="87"/>
        <v>329.019532</v>
      </c>
      <c r="W48" s="35">
        <f t="shared" si="87"/>
        <v>119.07144999999997</v>
      </c>
      <c r="X48" s="35">
        <f t="shared" si="87"/>
        <v>159.75222599999995</v>
      </c>
      <c r="Y48" s="35">
        <f t="shared" si="87"/>
        <v>118.14585900000003</v>
      </c>
      <c r="Z48" s="35">
        <f t="shared" si="87"/>
        <v>396.96953499999995</v>
      </c>
      <c r="AA48" s="35">
        <f t="shared" si="87"/>
        <v>155.24981599999995</v>
      </c>
      <c r="AB48" s="35">
        <f t="shared" si="87"/>
        <v>140.01877199999996</v>
      </c>
      <c r="AC48" s="35">
        <f t="shared" si="87"/>
        <v>151.172527</v>
      </c>
      <c r="AD48" s="35">
        <f t="shared" si="87"/>
        <v>446.4411149999999</v>
      </c>
      <c r="AE48" s="35">
        <f t="shared" si="87"/>
        <v>126.10148100000004</v>
      </c>
      <c r="AF48" s="35">
        <f t="shared" si="87"/>
        <v>118.98584000000005</v>
      </c>
      <c r="AG48" s="35">
        <f t="shared" si="87"/>
        <v>107.05230699999998</v>
      </c>
      <c r="AH48" s="35">
        <f t="shared" si="87"/>
        <v>352.1396280000001</v>
      </c>
      <c r="AI48" s="35">
        <f>+C48-S48</f>
        <v>3.4637900000000172</v>
      </c>
      <c r="AJ48" s="34">
        <f>+(AI48/S48)</f>
        <v>0.032642985320924287</v>
      </c>
      <c r="AL48" s="35">
        <f>+AL8-AL26</f>
        <v>101.24440803000044</v>
      </c>
      <c r="AM48" s="35">
        <f>+AM8-AM26</f>
        <v>118.60746432999943</v>
      </c>
      <c r="AN48" s="35">
        <f>+AN8-AN26</f>
        <v>114.97891895094023</v>
      </c>
      <c r="AO48" s="35">
        <f>+SUM(AL48:AN48)</f>
        <v>334.83079131094007</v>
      </c>
      <c r="AP48" s="35">
        <f>+AP8-AP26</f>
        <v>99.57792635529074</v>
      </c>
      <c r="AQ48" s="35">
        <f aca="true" t="shared" si="88" ref="AQ48:CN48">+AQ8-AQ26</f>
        <v>121.09826725136236</v>
      </c>
      <c r="AR48" s="35">
        <f t="shared" si="88"/>
        <v>107.06589938938748</v>
      </c>
      <c r="AS48" s="35">
        <f>+SUM(AP48:AR48)</f>
        <v>327.7420929960406</v>
      </c>
      <c r="AT48" s="35">
        <f t="shared" si="88"/>
        <v>113.56967360623639</v>
      </c>
      <c r="AU48" s="35">
        <f t="shared" si="88"/>
        <v>105.29816950096802</v>
      </c>
      <c r="AV48" s="35">
        <f t="shared" si="88"/>
        <v>101.72776664069482</v>
      </c>
      <c r="AW48" s="35">
        <f>+SUM(AT48:AV48)</f>
        <v>320.59560974789923</v>
      </c>
      <c r="AX48" s="35">
        <f t="shared" si="88"/>
        <v>127.61140008369478</v>
      </c>
      <c r="AY48" s="35">
        <f t="shared" si="88"/>
        <v>84.84821463879041</v>
      </c>
      <c r="AZ48" s="35">
        <f t="shared" si="88"/>
        <v>100.99432390170591</v>
      </c>
      <c r="BA48" s="35">
        <f>+SUM(AX48:AZ48)</f>
        <v>313.4539386241911</v>
      </c>
      <c r="BB48" s="35">
        <f t="shared" si="88"/>
        <v>105.91633227133823</v>
      </c>
      <c r="BC48" s="35">
        <f t="shared" si="88"/>
        <v>80.18619144085937</v>
      </c>
      <c r="BD48" s="35">
        <f t="shared" si="88"/>
        <v>120.21822022907054</v>
      </c>
      <c r="BE48" s="35">
        <f>+SUM(BB48:BD48)</f>
        <v>306.3207439412681</v>
      </c>
      <c r="BF48" s="35">
        <f t="shared" si="88"/>
        <v>106.32172391073419</v>
      </c>
      <c r="BG48" s="35">
        <f t="shared" si="88"/>
        <v>114.8066324617659</v>
      </c>
      <c r="BH48" s="35">
        <f t="shared" si="88"/>
        <v>120.64983165780382</v>
      </c>
      <c r="BI48" s="35">
        <f>+SUM(BF48:BH48)</f>
        <v>341.7781880303039</v>
      </c>
      <c r="BJ48" s="35">
        <f t="shared" si="88"/>
        <v>125.82825041639268</v>
      </c>
      <c r="BK48" s="35">
        <f t="shared" si="88"/>
        <v>118.67095925455772</v>
      </c>
      <c r="BL48" s="35">
        <f t="shared" si="88"/>
        <v>110.18651943926733</v>
      </c>
      <c r="BM48" s="35">
        <f>+SUM(BJ48:BL48)</f>
        <v>354.6857291102177</v>
      </c>
      <c r="BN48" s="35">
        <f t="shared" si="88"/>
        <v>123.15980486353283</v>
      </c>
      <c r="BO48" s="35">
        <f t="shared" si="88"/>
        <v>80.24462146834134</v>
      </c>
      <c r="BP48" s="35">
        <f t="shared" si="88"/>
        <v>111.13472822370915</v>
      </c>
      <c r="BQ48" s="35">
        <f>+SUM(BN48:BP48)</f>
        <v>314.5391545555833</v>
      </c>
      <c r="BR48" s="35">
        <f t="shared" si="88"/>
        <v>109.41868553791659</v>
      </c>
      <c r="BS48" s="35">
        <f t="shared" si="88"/>
        <v>94.45426461053057</v>
      </c>
      <c r="BT48" s="35">
        <f t="shared" si="88"/>
        <v>121.55617358947586</v>
      </c>
      <c r="BU48" s="35">
        <f>+SUM(BR48:BT48)</f>
        <v>325.429123737923</v>
      </c>
      <c r="BV48" s="35">
        <f t="shared" si="88"/>
        <v>111.04855878700005</v>
      </c>
      <c r="BW48" s="35">
        <f t="shared" si="88"/>
        <v>148.01973098151598</v>
      </c>
      <c r="BX48" s="35">
        <f t="shared" si="88"/>
        <v>125.19228330944304</v>
      </c>
      <c r="BY48" s="35">
        <f>+SUM(BV48:BX48)</f>
        <v>384.26057307795907</v>
      </c>
      <c r="BZ48" s="35">
        <f t="shared" si="88"/>
        <v>133.56208128809544</v>
      </c>
      <c r="CA48" s="35">
        <f t="shared" si="88"/>
        <v>126.98721433943808</v>
      </c>
      <c r="CB48" s="35">
        <f t="shared" si="88"/>
        <v>123.45624292078935</v>
      </c>
      <c r="CC48" s="35">
        <f>+SUM(BZ48:CB48)</f>
        <v>384.0055385483229</v>
      </c>
      <c r="CD48" s="35">
        <f t="shared" si="88"/>
        <v>118.93393110979957</v>
      </c>
      <c r="CE48" s="35">
        <f t="shared" si="88"/>
        <v>93.57095831715537</v>
      </c>
      <c r="CF48" s="35">
        <f t="shared" si="88"/>
        <v>118.36486492678665</v>
      </c>
      <c r="CG48" s="35">
        <f>+SUM(CD48:CF48)</f>
        <v>330.8697543537416</v>
      </c>
      <c r="CH48" s="35">
        <f t="shared" si="88"/>
        <v>91.59328388493032</v>
      </c>
      <c r="CI48" s="35">
        <f t="shared" si="88"/>
        <v>85.38874561056531</v>
      </c>
      <c r="CJ48" s="35">
        <f t="shared" si="88"/>
        <v>117.43035117748718</v>
      </c>
      <c r="CK48" s="35">
        <f>+SUM(CH48:CJ48)</f>
        <v>294.4123806729828</v>
      </c>
      <c r="CL48" s="35">
        <f t="shared" si="88"/>
        <v>91.43252177775702</v>
      </c>
      <c r="CM48" s="35">
        <f t="shared" si="88"/>
        <v>139.21248631835505</v>
      </c>
      <c r="CN48" s="35">
        <f t="shared" si="88"/>
        <v>118.44776898215639</v>
      </c>
      <c r="CO48" s="35">
        <f>+SUM(CL48:CN48)</f>
        <v>349.09277707826845</v>
      </c>
      <c r="CP48" s="35">
        <f aca="true" t="shared" si="89" ref="CP48:CV48">+CP8-CP26</f>
        <v>133.63872016418196</v>
      </c>
      <c r="CQ48" s="35">
        <f t="shared" si="89"/>
        <v>139.38252746478423</v>
      </c>
      <c r="CR48" s="35">
        <f t="shared" si="89"/>
        <v>108.39337849362028</v>
      </c>
      <c r="CS48" s="35">
        <f>+SUM(CP48:CR48)</f>
        <v>381.41462612258647</v>
      </c>
      <c r="CT48" s="35">
        <f t="shared" si="89"/>
        <v>122.6177806907508</v>
      </c>
      <c r="CU48" s="35">
        <f t="shared" si="89"/>
        <v>85.19395441482362</v>
      </c>
      <c r="CV48" s="35">
        <f t="shared" si="89"/>
        <v>95.08754640882444</v>
      </c>
      <c r="CW48" s="35">
        <f>+SUM(CT48:CV48)</f>
        <v>302.89928151439887</v>
      </c>
      <c r="CX48" s="35">
        <f aca="true" t="shared" si="90" ref="CX48:DF48">+CX8-CX26</f>
        <v>101.64486457204606</v>
      </c>
      <c r="CY48" s="35">
        <f t="shared" si="90"/>
        <v>62.28092859259618</v>
      </c>
      <c r="CZ48" s="35">
        <f t="shared" si="90"/>
        <v>138.83775721533317</v>
      </c>
      <c r="DA48" s="35">
        <f>+SUM(CX48:CZ48)</f>
        <v>302.7635503799754</v>
      </c>
      <c r="DB48" s="35">
        <f t="shared" si="90"/>
        <v>105.011504395786</v>
      </c>
      <c r="DC48" s="35">
        <f t="shared" si="90"/>
        <v>111.98866680682733</v>
      </c>
      <c r="DD48" s="35">
        <f t="shared" si="90"/>
        <v>107.42149493896221</v>
      </c>
      <c r="DE48" s="35">
        <f>+SUM(DB48:DD48)</f>
        <v>324.42166614157554</v>
      </c>
      <c r="DF48" s="35">
        <f t="shared" si="90"/>
        <v>115.32477599999999</v>
      </c>
      <c r="DG48" s="35">
        <f aca="true" t="shared" si="91" ref="DG48:DP48">+DG8-DG26</f>
        <v>108.44346699999977</v>
      </c>
      <c r="DH48" s="35">
        <f t="shared" si="91"/>
        <v>82.16009699999995</v>
      </c>
      <c r="DI48" s="35">
        <f>+SUM(DF48:DH48)</f>
        <v>305.9283399999997</v>
      </c>
      <c r="DJ48" s="35">
        <f t="shared" si="91"/>
        <v>107.25651399999998</v>
      </c>
      <c r="DK48" s="35">
        <f t="shared" si="91"/>
        <v>81.58235200000001</v>
      </c>
      <c r="DL48" s="35">
        <f t="shared" si="91"/>
        <v>86.43834000000004</v>
      </c>
      <c r="DM48" s="35">
        <f>+SUM(DJ48:DL48)</f>
        <v>275.27720600000004</v>
      </c>
      <c r="DN48" s="35">
        <f t="shared" si="91"/>
        <v>86.69734900000003</v>
      </c>
      <c r="DO48" s="35">
        <f t="shared" si="91"/>
        <v>69.78547099999997</v>
      </c>
      <c r="DP48" s="35">
        <f t="shared" si="91"/>
        <v>109.38163800000001</v>
      </c>
      <c r="DQ48" s="35">
        <f>+SUM(DN48:DP48)</f>
        <v>265.864458</v>
      </c>
      <c r="DR48" s="35">
        <f>+DR8-DR26</f>
        <v>81.89054199999998</v>
      </c>
      <c r="DS48" s="35">
        <f>+DS8-DS26</f>
        <v>120.67279299999996</v>
      </c>
      <c r="DT48" s="35">
        <f>+DT8-DT26</f>
        <v>104.19691599999999</v>
      </c>
      <c r="DU48" s="35">
        <f>+SUM(DR48:DT48)</f>
        <v>306.7602509999999</v>
      </c>
      <c r="DV48" s="35">
        <f>+DV8-DV26</f>
        <v>117.89545900000007</v>
      </c>
      <c r="DW48" s="35">
        <f>+DW8-DW26</f>
        <v>110.78586100000001</v>
      </c>
      <c r="DX48" s="35">
        <f>+DX8-DX26</f>
        <v>92.71324200000004</v>
      </c>
      <c r="DY48" s="35">
        <f>+SUM(DV48:DX48)</f>
        <v>321.3945620000001</v>
      </c>
      <c r="DZ48" s="35">
        <f>+DZ8-DZ26</f>
        <v>113.797347</v>
      </c>
      <c r="EA48" s="35">
        <f>+EA8-EA26</f>
        <v>78.52998400000001</v>
      </c>
      <c r="EB48" s="35">
        <f>+EB8-EB26</f>
        <v>85.15399200000002</v>
      </c>
      <c r="EC48" s="35">
        <f>+SUM(DZ48:EB48)</f>
        <v>277.48132300000003</v>
      </c>
      <c r="ED48" s="35">
        <f>+ED8-ED26</f>
        <v>88.59331500000008</v>
      </c>
      <c r="EE48" s="35">
        <f>+EE8-EE26</f>
        <v>88.95441999999997</v>
      </c>
      <c r="EF48" s="35">
        <f>+EF8-EF26</f>
        <v>89.233089</v>
      </c>
      <c r="EG48" s="35">
        <f>+SUM(ED48:EF48)</f>
        <v>266.78082400000005</v>
      </c>
      <c r="EH48" s="35">
        <f>+EH8-EH26</f>
        <v>111.06711799999994</v>
      </c>
      <c r="EI48" s="35">
        <f>+EI8-EI26</f>
        <v>152.63608300000004</v>
      </c>
      <c r="EJ48" s="35">
        <f>+EJ8-EJ26</f>
        <v>149.847663</v>
      </c>
      <c r="EK48" s="35">
        <f>+SUM(EH48:EJ48)</f>
        <v>413.550864</v>
      </c>
      <c r="EL48" s="35">
        <f>+EL8-EL26</f>
        <v>126.69128800000004</v>
      </c>
      <c r="EM48" s="35">
        <f>+EM8-EM26</f>
        <v>125.02871099999999</v>
      </c>
      <c r="EN48" s="35">
        <f>+EN8-EN26</f>
        <v>125.80441399999995</v>
      </c>
      <c r="EO48" s="35">
        <f>+SUM(EL48:EN48)</f>
        <v>377.524413</v>
      </c>
      <c r="EP48" s="35">
        <f>+EP8-EP26</f>
        <v>136.4149660000001</v>
      </c>
      <c r="EQ48" s="35">
        <v>82.67902645499998</v>
      </c>
      <c r="ER48" s="35">
        <v>120.49977923399996</v>
      </c>
      <c r="ES48" s="35">
        <f>+SUM(EP48:ER48)</f>
        <v>339.59377168900005</v>
      </c>
      <c r="ET48" s="35">
        <f>+ET8-ET26</f>
        <v>106.111312</v>
      </c>
      <c r="EU48" s="35">
        <f>+EU8-EU26</f>
        <v>92.68050000000005</v>
      </c>
      <c r="EV48" s="35">
        <f>+EV8-EV26</f>
        <v>130.22771999999998</v>
      </c>
      <c r="EW48" s="35">
        <f>+SUM(ET48:EV48)</f>
        <v>329.019532</v>
      </c>
      <c r="EX48" s="35">
        <f>+EX8-EX26</f>
        <v>119.07144999999997</v>
      </c>
      <c r="EY48" s="35">
        <f>+EY8-EY26</f>
        <v>159.75222599999995</v>
      </c>
      <c r="EZ48" s="35">
        <f>+EZ8-EZ26</f>
        <v>118.14585900000003</v>
      </c>
      <c r="FA48" s="35">
        <f>+SUM(EX48:EZ48)</f>
        <v>396.96953499999995</v>
      </c>
      <c r="FB48" s="35">
        <f>+FB8-FB26</f>
        <v>155.24981599999995</v>
      </c>
      <c r="FC48" s="35">
        <f>+FC8-FC26</f>
        <v>140.01877199999996</v>
      </c>
      <c r="FD48" s="35">
        <f>+FD8-FD26</f>
        <v>151.172527</v>
      </c>
      <c r="FE48" s="35">
        <f>+SUM(FB48:FD48)</f>
        <v>446.4411149999999</v>
      </c>
      <c r="FF48" s="35">
        <f>+FF8-FF26</f>
        <v>126.10148100000004</v>
      </c>
      <c r="FG48" s="35">
        <f>+FG8-FG26</f>
        <v>118.98584000000005</v>
      </c>
      <c r="FH48" s="35">
        <f>+FH8-FH26</f>
        <v>107.05230699999998</v>
      </c>
      <c r="FI48" s="35">
        <f>+SUM(FF48:FH48)</f>
        <v>352.1396280000001</v>
      </c>
      <c r="FJ48" s="35">
        <f>+FJ8-FJ26</f>
        <v>109.57510200000002</v>
      </c>
      <c r="FK48" s="35"/>
      <c r="FL48" s="35"/>
      <c r="FM48" s="35">
        <f>+SUM(FJ48:FL48)</f>
        <v>109.57510200000002</v>
      </c>
      <c r="FN48" s="35"/>
      <c r="FO48" s="35"/>
      <c r="FP48" s="35"/>
      <c r="FQ48" s="35">
        <f>+SUM(FN48:FP48)</f>
        <v>0</v>
      </c>
      <c r="FR48" s="35"/>
      <c r="FS48" s="35"/>
      <c r="FT48" s="35"/>
      <c r="FU48" s="35">
        <f>+SUM(FR48:FT48)</f>
        <v>0</v>
      </c>
      <c r="FV48" s="35"/>
      <c r="FW48" s="35"/>
      <c r="FX48" s="35"/>
      <c r="FY48" s="35">
        <f>+SUM(FV48:FX48)</f>
        <v>0</v>
      </c>
      <c r="FZ48" s="33"/>
      <c r="GA48" s="16">
        <f>+AO48+AS48+AW48+BA48</f>
        <v>1296.622432679071</v>
      </c>
      <c r="GB48" s="16">
        <f>+BE48+BI48+BM48+BQ48</f>
        <v>1317.3238156373732</v>
      </c>
      <c r="GC48" s="28">
        <f>+BU48+BY48+CC48+CG48</f>
        <v>1424.5649897179467</v>
      </c>
      <c r="GD48" s="35">
        <f>+CK48+CO48+CS48+CW48</f>
        <v>1327.8190653882366</v>
      </c>
      <c r="GE48" s="35">
        <f>+DA48+DE48+DI48+DM48</f>
        <v>1208.3907625215506</v>
      </c>
      <c r="GF48" s="35">
        <f>+DQ48+DU48+DY48+EC48</f>
        <v>1171.500594</v>
      </c>
      <c r="GG48" s="35">
        <f>+EG48+EK48+EO48+ES48</f>
        <v>1397.449872689</v>
      </c>
      <c r="GH48" s="35">
        <f>+EW48+FA48+FE48+FI48</f>
        <v>1524.56981</v>
      </c>
      <c r="GI48" s="35">
        <f>+FM48+FQ48+FU48+FY48</f>
        <v>109.57510200000002</v>
      </c>
      <c r="GJ48" s="33"/>
      <c r="GK48" s="33"/>
      <c r="GL48" s="33"/>
      <c r="GM48" s="33"/>
      <c r="GN48" s="33"/>
      <c r="GO48" s="33"/>
      <c r="GP48" s="33"/>
      <c r="GQ48" s="33"/>
      <c r="GR48" s="33"/>
      <c r="GS48" s="33"/>
      <c r="GT48" s="33"/>
      <c r="GU48" s="33"/>
      <c r="GV48" s="33"/>
      <c r="GW48" s="33"/>
    </row>
    <row r="49" spans="1:205" s="32" customFormat="1" ht="15" customHeight="1" outlineLevel="1">
      <c r="A49" s="51"/>
      <c r="B49" s="1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4"/>
      <c r="AK49" s="18"/>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3"/>
      <c r="GA49" s="35"/>
      <c r="GB49" s="35"/>
      <c r="GC49" s="35"/>
      <c r="GD49" s="35"/>
      <c r="GE49" s="35"/>
      <c r="GF49" s="35"/>
      <c r="GG49" s="35"/>
      <c r="GH49" s="35"/>
      <c r="GI49" s="35"/>
      <c r="GJ49" s="33"/>
      <c r="GK49" s="33"/>
      <c r="GL49" s="33"/>
      <c r="GM49" s="33"/>
      <c r="GN49" s="33"/>
      <c r="GO49" s="33"/>
      <c r="GP49" s="33"/>
      <c r="GQ49" s="33"/>
      <c r="GR49" s="33"/>
      <c r="GS49" s="33"/>
      <c r="GT49" s="33"/>
      <c r="GU49" s="33"/>
      <c r="GV49" s="33"/>
      <c r="GW49" s="33"/>
    </row>
    <row r="50" spans="1:205" s="84" customFormat="1" ht="15" customHeight="1">
      <c r="A50" s="81"/>
      <c r="B50" s="82" t="s">
        <v>20</v>
      </c>
      <c r="C50" s="69">
        <f aca="true" t="shared" si="92" ref="C50:R50">+FJ50</f>
        <v>0.24214370480840558</v>
      </c>
      <c r="D50" s="69">
        <f t="shared" si="92"/>
        <v>0</v>
      </c>
      <c r="E50" s="69">
        <f t="shared" si="92"/>
        <v>0</v>
      </c>
      <c r="F50" s="69">
        <f t="shared" si="92"/>
        <v>0.24214370480840558</v>
      </c>
      <c r="G50" s="69">
        <f t="shared" si="92"/>
        <v>0</v>
      </c>
      <c r="H50" s="69">
        <f t="shared" si="92"/>
        <v>0</v>
      </c>
      <c r="I50" s="69">
        <f t="shared" si="92"/>
        <v>0</v>
      </c>
      <c r="J50" s="69">
        <f t="shared" si="92"/>
        <v>0</v>
      </c>
      <c r="K50" s="69">
        <f t="shared" si="92"/>
        <v>0</v>
      </c>
      <c r="L50" s="69">
        <f t="shared" si="92"/>
        <v>0</v>
      </c>
      <c r="M50" s="69">
        <f t="shared" si="92"/>
        <v>0</v>
      </c>
      <c r="N50" s="69">
        <f t="shared" si="92"/>
        <v>0</v>
      </c>
      <c r="O50" s="69">
        <f t="shared" si="92"/>
        <v>0</v>
      </c>
      <c r="P50" s="69">
        <f t="shared" si="92"/>
        <v>0</v>
      </c>
      <c r="Q50" s="69">
        <f t="shared" si="92"/>
        <v>0</v>
      </c>
      <c r="R50" s="69">
        <f t="shared" si="92"/>
        <v>0</v>
      </c>
      <c r="S50" s="69">
        <f aca="true" t="shared" si="93" ref="S50:AH50">+ET50</f>
        <v>0.2484345980910307</v>
      </c>
      <c r="T50" s="69">
        <f t="shared" si="93"/>
        <v>0.22526169833493334</v>
      </c>
      <c r="U50" s="69">
        <f t="shared" si="93"/>
        <v>0.28576554516571256</v>
      </c>
      <c r="V50" s="69">
        <f t="shared" si="93"/>
        <v>0.2542124856279092</v>
      </c>
      <c r="W50" s="69">
        <f t="shared" si="93"/>
        <v>0.2633772415473297</v>
      </c>
      <c r="X50" s="69">
        <f t="shared" si="93"/>
        <v>0.3175641698542491</v>
      </c>
      <c r="Y50" s="69">
        <f t="shared" si="93"/>
        <v>0.24292928555819518</v>
      </c>
      <c r="Z50" s="69">
        <f t="shared" si="93"/>
        <v>0.2753886999819458</v>
      </c>
      <c r="AA50" s="69">
        <f t="shared" si="93"/>
        <v>0.2976378561354281</v>
      </c>
      <c r="AB50" s="69">
        <f t="shared" si="93"/>
        <v>0.2684244032389796</v>
      </c>
      <c r="AC50" s="69">
        <f t="shared" si="93"/>
        <v>0.2809692307350897</v>
      </c>
      <c r="AD50" s="69">
        <f t="shared" si="93"/>
        <v>0.28232931923205573</v>
      </c>
      <c r="AE50" s="69">
        <f t="shared" si="93"/>
        <v>0.24124265813328394</v>
      </c>
      <c r="AF50" s="69">
        <f t="shared" si="93"/>
        <v>0.23603641881832713</v>
      </c>
      <c r="AG50" s="69">
        <f t="shared" si="93"/>
        <v>0.22380194699191283</v>
      </c>
      <c r="AH50" s="69">
        <f t="shared" si="93"/>
        <v>0.23395636829109973</v>
      </c>
      <c r="AI50" s="59">
        <f>+C50-S50</f>
        <v>-0.00629089328262511</v>
      </c>
      <c r="AJ50" s="69">
        <f>+(AI50/S50)</f>
        <v>-0.02532213037541582</v>
      </c>
      <c r="AK50" s="83"/>
      <c r="AL50" s="59">
        <f>+AL48/AL8</f>
        <v>0.284863760008754</v>
      </c>
      <c r="AM50" s="59">
        <f>+AM48/AM8</f>
        <v>0.36366941413572895</v>
      </c>
      <c r="AN50" s="59">
        <f>+AN48/AN8</f>
        <v>0.3079902295570967</v>
      </c>
      <c r="AO50" s="59">
        <f>+AO48/AO8</f>
        <v>0.31741296368761585</v>
      </c>
      <c r="AP50" s="59">
        <f>+AP48/AP8</f>
        <v>0.2690058284649652</v>
      </c>
      <c r="AQ50" s="59">
        <f aca="true" t="shared" si="94" ref="AQ50:CN50">+AQ48/AQ8</f>
        <v>0.3133227386108525</v>
      </c>
      <c r="AR50" s="59">
        <f t="shared" si="94"/>
        <v>0.2735963862603522</v>
      </c>
      <c r="AS50" s="59">
        <f>+AS48/AS8</f>
        <v>0.2854908851512155</v>
      </c>
      <c r="AT50" s="59">
        <f t="shared" si="94"/>
        <v>0.2822247089413364</v>
      </c>
      <c r="AU50" s="59">
        <f t="shared" si="94"/>
        <v>0.26891822788563735</v>
      </c>
      <c r="AV50" s="59">
        <f t="shared" si="94"/>
        <v>0.2695861927984459</v>
      </c>
      <c r="AW50" s="59">
        <f>+AW48/AW8</f>
        <v>0.27370488357207057</v>
      </c>
      <c r="AX50" s="59">
        <f t="shared" si="94"/>
        <v>0.3144847497883647</v>
      </c>
      <c r="AY50" s="59">
        <f t="shared" si="94"/>
        <v>0.2306348697515048</v>
      </c>
      <c r="AZ50" s="59">
        <f t="shared" si="94"/>
        <v>0.27543784957779976</v>
      </c>
      <c r="BA50" s="59">
        <f>+BA48/BA8</f>
        <v>0.2748782473277884</v>
      </c>
      <c r="BB50" s="59">
        <f t="shared" si="94"/>
        <v>0.2959499340852517</v>
      </c>
      <c r="BC50" s="59">
        <f t="shared" si="94"/>
        <v>0.2420800144545332</v>
      </c>
      <c r="BD50" s="59">
        <f t="shared" si="94"/>
        <v>0.3198450749784637</v>
      </c>
      <c r="BE50" s="59">
        <f>+BE48/BE8</f>
        <v>0.2876282802001356</v>
      </c>
      <c r="BF50" s="59">
        <f t="shared" si="94"/>
        <v>0.28626310144361095</v>
      </c>
      <c r="BG50" s="59">
        <f t="shared" si="94"/>
        <v>0.29218484050558613</v>
      </c>
      <c r="BH50" s="59">
        <f t="shared" si="94"/>
        <v>0.29881581458157236</v>
      </c>
      <c r="BI50" s="59">
        <f>+BI48/BI8</f>
        <v>0.2925939782643532</v>
      </c>
      <c r="BJ50" s="59">
        <f t="shared" si="94"/>
        <v>0.29707804228209944</v>
      </c>
      <c r="BK50" s="59">
        <f t="shared" si="94"/>
        <v>0.281100998507117</v>
      </c>
      <c r="BL50" s="59">
        <f t="shared" si="94"/>
        <v>0.2661691342163405</v>
      </c>
      <c r="BM50" s="59">
        <f>+BM48/BM8</f>
        <v>0.2815659951689318</v>
      </c>
      <c r="BN50" s="59">
        <f t="shared" si="94"/>
        <v>0.28639149854422935</v>
      </c>
      <c r="BO50" s="59">
        <f t="shared" si="94"/>
        <v>0.21169553189784357</v>
      </c>
      <c r="BP50" s="59">
        <f t="shared" si="94"/>
        <v>0.28545969909448116</v>
      </c>
      <c r="BQ50" s="59">
        <f>+BQ48/BQ8</f>
        <v>0.26246258234263176</v>
      </c>
      <c r="BR50" s="59">
        <f t="shared" si="94"/>
        <v>0.29013293209546265</v>
      </c>
      <c r="BS50" s="59">
        <f t="shared" si="94"/>
        <v>0.2578643413473757</v>
      </c>
      <c r="BT50" s="59">
        <f t="shared" si="94"/>
        <v>0.30658904485768956</v>
      </c>
      <c r="BU50" s="59">
        <f>+BU48/BU8</f>
        <v>0.2854875529234451</v>
      </c>
      <c r="BV50" s="59">
        <f t="shared" si="94"/>
        <v>0.27795809053015286</v>
      </c>
      <c r="BW50" s="59">
        <f t="shared" si="94"/>
        <v>0.3371121459584899</v>
      </c>
      <c r="BX50" s="59">
        <f t="shared" si="94"/>
        <v>0.29055107856663315</v>
      </c>
      <c r="BY50" s="59">
        <f>+BY48/BY8</f>
        <v>0.3026923207841258</v>
      </c>
      <c r="BZ50" s="59">
        <f t="shared" si="94"/>
        <v>0.3014821172611091</v>
      </c>
      <c r="CA50" s="59">
        <f t="shared" si="94"/>
        <v>0.2883827748538384</v>
      </c>
      <c r="CB50" s="59">
        <f t="shared" si="94"/>
        <v>0.28035058538124386</v>
      </c>
      <c r="CC50" s="59">
        <f>+CC48/CC8</f>
        <v>0.2900947340393951</v>
      </c>
      <c r="CD50" s="59">
        <f t="shared" si="94"/>
        <v>0.2742004323409591</v>
      </c>
      <c r="CE50" s="59">
        <f t="shared" si="94"/>
        <v>0.2331972009534546</v>
      </c>
      <c r="CF50" s="59">
        <f t="shared" si="94"/>
        <v>0.2908380219202062</v>
      </c>
      <c r="CG50" s="59">
        <f>+CG48/CG8</f>
        <v>0.26640520969869164</v>
      </c>
      <c r="CH50" s="59">
        <f t="shared" si="94"/>
        <v>0.24564740134856605</v>
      </c>
      <c r="CI50" s="59">
        <f t="shared" si="94"/>
        <v>0.24115646825669018</v>
      </c>
      <c r="CJ50" s="59">
        <f t="shared" si="94"/>
        <v>0.29462380681746925</v>
      </c>
      <c r="CK50" s="59">
        <f>+CK48/CK8</f>
        <v>0.2615784313999123</v>
      </c>
      <c r="CL50" s="59">
        <f t="shared" si="94"/>
        <v>0.23745161723809582</v>
      </c>
      <c r="CM50" s="59">
        <f t="shared" si="94"/>
        <v>0.3265580466591711</v>
      </c>
      <c r="CN50" s="59">
        <f t="shared" si="94"/>
        <v>0.2730566445850979</v>
      </c>
      <c r="CO50" s="59">
        <f>+CO48/CO8</f>
        <v>0.28036326245884896</v>
      </c>
      <c r="CP50" s="59">
        <f aca="true" t="shared" si="95" ref="CP50:CV50">+CP48/CP8</f>
        <v>0.2940848208952342</v>
      </c>
      <c r="CQ50" s="59">
        <f t="shared" si="95"/>
        <v>0.29541459837715833</v>
      </c>
      <c r="CR50" s="59">
        <f t="shared" si="95"/>
        <v>0.24578019369945386</v>
      </c>
      <c r="CS50" s="59">
        <f>+CS48/CS8</f>
        <v>0.27896277147044224</v>
      </c>
      <c r="CT50" s="59">
        <f t="shared" si="95"/>
        <v>0.27277248024743017</v>
      </c>
      <c r="CU50" s="59">
        <f t="shared" si="95"/>
        <v>0.20805612363592932</v>
      </c>
      <c r="CV50" s="59">
        <f t="shared" si="95"/>
        <v>0.23215796798538502</v>
      </c>
      <c r="CW50" s="59">
        <f>+CW48/CW8</f>
        <v>0.23877013965110208</v>
      </c>
      <c r="CX50" s="59">
        <f aca="true" t="shared" si="96" ref="CX50:DF50">+CX48/CX8</f>
        <v>0.25982127698437824</v>
      </c>
      <c r="CY50" s="59">
        <f t="shared" si="96"/>
        <v>0.1814740652384333</v>
      </c>
      <c r="CZ50" s="59">
        <f t="shared" si="96"/>
        <v>0.34365639414642163</v>
      </c>
      <c r="DA50" s="59">
        <f>+DA48/DA8</f>
        <v>0.2659536911052701</v>
      </c>
      <c r="DB50" s="59">
        <f t="shared" si="96"/>
        <v>0.2529019140773491</v>
      </c>
      <c r="DC50" s="59">
        <f t="shared" si="96"/>
        <v>0.2598678546297526</v>
      </c>
      <c r="DD50" s="59">
        <f t="shared" si="96"/>
        <v>0.24369301491605921</v>
      </c>
      <c r="DE50" s="59">
        <f>+DE48/DE8</f>
        <v>0.2520802922672114</v>
      </c>
      <c r="DF50" s="59">
        <f t="shared" si="96"/>
        <v>0.2502668252092994</v>
      </c>
      <c r="DG50" s="59">
        <f aca="true" t="shared" si="97" ref="DG50:DP50">+DG48/DG8</f>
        <v>0.23602326202588392</v>
      </c>
      <c r="DH50" s="59">
        <f t="shared" si="97"/>
        <v>0.19294214566141626</v>
      </c>
      <c r="DI50" s="59">
        <f>+DI48/DI8</f>
        <v>0.22727084506175751</v>
      </c>
      <c r="DJ50" s="59">
        <f t="shared" si="97"/>
        <v>0.2435605502396499</v>
      </c>
      <c r="DK50" s="59">
        <f t="shared" si="97"/>
        <v>0.19275279960349168</v>
      </c>
      <c r="DL50" s="59">
        <f t="shared" si="97"/>
        <v>0.20557295437313175</v>
      </c>
      <c r="DM50" s="59">
        <f>+DM48/DM8</f>
        <v>0.2143748465813814</v>
      </c>
      <c r="DN50" s="59">
        <f t="shared" si="97"/>
        <v>0.21370279102456533</v>
      </c>
      <c r="DO50" s="59">
        <f t="shared" si="97"/>
        <v>0.1821005954266998</v>
      </c>
      <c r="DP50" s="59">
        <f t="shared" si="97"/>
        <v>0.254296824883862</v>
      </c>
      <c r="DQ50" s="59">
        <f aca="true" t="shared" si="98" ref="DQ50:DV50">+DQ48/DQ8</f>
        <v>0.21809155052835555</v>
      </c>
      <c r="DR50" s="59">
        <f t="shared" si="98"/>
        <v>0.19480517577440845</v>
      </c>
      <c r="DS50" s="59">
        <f t="shared" si="98"/>
        <v>0.2619246870152744</v>
      </c>
      <c r="DT50" s="59">
        <f t="shared" si="98"/>
        <v>0.22252042977928194</v>
      </c>
      <c r="DU50" s="59">
        <f t="shared" si="98"/>
        <v>0.2273401420424877</v>
      </c>
      <c r="DV50" s="59">
        <f t="shared" si="98"/>
        <v>0.23611545775221873</v>
      </c>
      <c r="DW50" s="59">
        <f aca="true" t="shared" si="99" ref="DW50:EG50">+DW48/DW8</f>
        <v>0.21949728868321572</v>
      </c>
      <c r="DX50" s="59">
        <f t="shared" si="99"/>
        <v>0.19214965755863136</v>
      </c>
      <c r="DY50" s="59">
        <f t="shared" si="99"/>
        <v>0.21620258855747498</v>
      </c>
      <c r="DZ50" s="59">
        <f t="shared" si="99"/>
        <v>0.22911294391511744</v>
      </c>
      <c r="EA50" s="59">
        <f t="shared" si="99"/>
        <v>0.17110599067426624</v>
      </c>
      <c r="EB50" s="59">
        <f t="shared" si="99"/>
        <v>0.1889688708896088</v>
      </c>
      <c r="EC50" s="59">
        <f t="shared" si="99"/>
        <v>0.19731776211302407</v>
      </c>
      <c r="ED50" s="59">
        <f t="shared" si="99"/>
        <v>0.20535707631884703</v>
      </c>
      <c r="EE50" s="59">
        <f>+EE48/EE8</f>
        <v>0.21121166304945185</v>
      </c>
      <c r="EF50" s="59">
        <f>+EF48/EF8</f>
        <v>0.20910057627862635</v>
      </c>
      <c r="EG50" s="59">
        <f t="shared" si="99"/>
        <v>0.2085331838894426</v>
      </c>
      <c r="EH50" s="59">
        <f aca="true" t="shared" si="100" ref="EH50:EM50">+EH48/EH8</f>
        <v>0.26388524355319054</v>
      </c>
      <c r="EI50" s="59">
        <f t="shared" si="100"/>
        <v>0.32809577311519406</v>
      </c>
      <c r="EJ50" s="59">
        <f t="shared" si="100"/>
        <v>0.3021784788587356</v>
      </c>
      <c r="EK50" s="59">
        <f t="shared" si="100"/>
        <v>0.29924062829315273</v>
      </c>
      <c r="EL50" s="59">
        <f t="shared" si="100"/>
        <v>0.2448540787635401</v>
      </c>
      <c r="EM50" s="59">
        <f t="shared" si="100"/>
        <v>0.2508832146380762</v>
      </c>
      <c r="EN50" s="59">
        <f aca="true" t="shared" si="101" ref="EN50:ES50">+EN48/EN8</f>
        <v>0.2578579726469596</v>
      </c>
      <c r="EO50" s="59">
        <f t="shared" si="101"/>
        <v>0.25107161909657516</v>
      </c>
      <c r="EP50" s="59">
        <f t="shared" si="101"/>
        <v>0.273744490443011</v>
      </c>
      <c r="EQ50" s="59">
        <f t="shared" si="101"/>
        <v>0.18833594954743962</v>
      </c>
      <c r="ER50" s="59">
        <f t="shared" si="101"/>
        <v>0.26619734207409473</v>
      </c>
      <c r="ES50" s="59">
        <f t="shared" si="101"/>
        <v>0.24431242100725933</v>
      </c>
      <c r="ET50" s="59">
        <f aca="true" t="shared" si="102" ref="ET50:FJ50">+ET48/ET8</f>
        <v>0.2484345980910307</v>
      </c>
      <c r="EU50" s="59">
        <f t="shared" si="102"/>
        <v>0.22526169833493334</v>
      </c>
      <c r="EV50" s="59">
        <f t="shared" si="102"/>
        <v>0.28576554516571256</v>
      </c>
      <c r="EW50" s="59">
        <f t="shared" si="102"/>
        <v>0.2542124856279092</v>
      </c>
      <c r="EX50" s="59">
        <f t="shared" si="102"/>
        <v>0.2633772415473297</v>
      </c>
      <c r="EY50" s="59">
        <f t="shared" si="102"/>
        <v>0.3175641698542491</v>
      </c>
      <c r="EZ50" s="59">
        <f t="shared" si="102"/>
        <v>0.24292928555819518</v>
      </c>
      <c r="FA50" s="59">
        <f>+_xlfn.IFERROR(FA48/FA8,0)</f>
        <v>0.2753886999819458</v>
      </c>
      <c r="FB50" s="59">
        <f t="shared" si="102"/>
        <v>0.2976378561354281</v>
      </c>
      <c r="FC50" s="59">
        <f t="shared" si="102"/>
        <v>0.2684244032389796</v>
      </c>
      <c r="FD50" s="59">
        <f t="shared" si="102"/>
        <v>0.2809692307350897</v>
      </c>
      <c r="FE50" s="59">
        <f>+_xlfn.IFERROR(FE48/FE8,0)</f>
        <v>0.28232931923205573</v>
      </c>
      <c r="FF50" s="59">
        <f t="shared" si="102"/>
        <v>0.24124265813328394</v>
      </c>
      <c r="FG50" s="59">
        <f t="shared" si="102"/>
        <v>0.23603641881832713</v>
      </c>
      <c r="FH50" s="59">
        <f t="shared" si="102"/>
        <v>0.22380194699191283</v>
      </c>
      <c r="FI50" s="59">
        <f>+_xlfn.IFERROR(FI48/FI8,0)</f>
        <v>0.23395636829109973</v>
      </c>
      <c r="FJ50" s="59">
        <f t="shared" si="102"/>
        <v>0.24214370480840558</v>
      </c>
      <c r="FK50" s="59"/>
      <c r="FL50" s="59"/>
      <c r="FM50" s="59">
        <f>+FM48/FM8</f>
        <v>0.24214370480840558</v>
      </c>
      <c r="FN50" s="59"/>
      <c r="FO50" s="59"/>
      <c r="FP50" s="59"/>
      <c r="FQ50" s="59">
        <f>+_xlfn.IFERROR(FQ48/FQ8,0)</f>
        <v>0</v>
      </c>
      <c r="FR50" s="59"/>
      <c r="FS50" s="59"/>
      <c r="FT50" s="59"/>
      <c r="FU50" s="59">
        <f>+_xlfn.IFERROR(FU48/FU8,0)</f>
        <v>0</v>
      </c>
      <c r="FV50" s="59"/>
      <c r="FW50" s="59"/>
      <c r="FX50" s="59"/>
      <c r="FY50" s="59">
        <f>+_xlfn.IFERROR(FY48/FY8,0)</f>
        <v>0</v>
      </c>
      <c r="FZ50" s="59"/>
      <c r="GA50" s="69">
        <f aca="true" t="shared" si="103" ref="GA50:GF50">+GA48/GA8</f>
        <v>0.2872112502610508</v>
      </c>
      <c r="GB50" s="69">
        <f t="shared" si="103"/>
        <v>0.2808080205898561</v>
      </c>
      <c r="GC50" s="69">
        <f t="shared" si="103"/>
        <v>0.28633975928516253</v>
      </c>
      <c r="GD50" s="69">
        <f t="shared" si="103"/>
        <v>0.26521860817666787</v>
      </c>
      <c r="GE50" s="69">
        <f t="shared" si="103"/>
        <v>0.23902151354360796</v>
      </c>
      <c r="GF50" s="69">
        <f t="shared" si="103"/>
        <v>0.21451322567328515</v>
      </c>
      <c r="GG50" s="69">
        <f>+GG48/GG8</f>
        <v>0.2515673998218477</v>
      </c>
      <c r="GH50" s="69">
        <f>+GH48/GH8</f>
        <v>0.26185519435524024</v>
      </c>
      <c r="GI50" s="69">
        <f>+GI48/GI8</f>
        <v>0.24214370480840558</v>
      </c>
      <c r="GJ50" s="59"/>
      <c r="GK50" s="59"/>
      <c r="GL50" s="59"/>
      <c r="GM50" s="59"/>
      <c r="GN50" s="59"/>
      <c r="GO50" s="59"/>
      <c r="GP50" s="59"/>
      <c r="GQ50" s="59"/>
      <c r="GR50" s="59"/>
      <c r="GS50" s="59"/>
      <c r="GT50" s="59"/>
      <c r="GU50" s="59"/>
      <c r="GV50" s="59"/>
      <c r="GW50" s="59"/>
    </row>
    <row r="51" spans="1:205" s="84" customFormat="1" ht="15" customHeight="1">
      <c r="A51" s="81"/>
      <c r="B51" s="82"/>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59"/>
      <c r="AJ51" s="69"/>
      <c r="AK51" s="83"/>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69"/>
      <c r="GB51" s="69"/>
      <c r="GC51" s="69"/>
      <c r="GD51" s="69"/>
      <c r="GE51" s="69"/>
      <c r="GF51" s="69"/>
      <c r="GG51" s="69"/>
      <c r="GH51" s="69"/>
      <c r="GI51" s="69"/>
      <c r="GJ51" s="59"/>
      <c r="GK51" s="59"/>
      <c r="GL51" s="59"/>
      <c r="GM51" s="59"/>
      <c r="GN51" s="59"/>
      <c r="GO51" s="59"/>
      <c r="GP51" s="59"/>
      <c r="GQ51" s="59"/>
      <c r="GR51" s="59"/>
      <c r="GS51" s="59"/>
      <c r="GT51" s="59"/>
      <c r="GU51" s="59"/>
      <c r="GV51" s="59"/>
      <c r="GW51" s="59"/>
    </row>
    <row r="52" spans="1:205" s="84" customFormat="1" ht="15" customHeight="1">
      <c r="A52" s="81"/>
      <c r="B52" s="82" t="s">
        <v>41</v>
      </c>
      <c r="C52" s="69">
        <f aca="true" t="shared" si="104" ref="C52:R52">+FJ52</f>
        <v>0.26131007025390635</v>
      </c>
      <c r="D52" s="69">
        <f t="shared" si="104"/>
        <v>0</v>
      </c>
      <c r="E52" s="69">
        <f t="shared" si="104"/>
        <v>0</v>
      </c>
      <c r="F52" s="69">
        <f t="shared" si="104"/>
        <v>0.26131007025390635</v>
      </c>
      <c r="G52" s="69">
        <f t="shared" si="104"/>
        <v>0</v>
      </c>
      <c r="H52" s="69">
        <f t="shared" si="104"/>
        <v>0</v>
      </c>
      <c r="I52" s="69">
        <f t="shared" si="104"/>
        <v>0</v>
      </c>
      <c r="J52" s="69">
        <f t="shared" si="104"/>
        <v>0</v>
      </c>
      <c r="K52" s="69">
        <f t="shared" si="104"/>
        <v>0</v>
      </c>
      <c r="L52" s="69">
        <f t="shared" si="104"/>
        <v>0</v>
      </c>
      <c r="M52" s="69">
        <f t="shared" si="104"/>
        <v>0</v>
      </c>
      <c r="N52" s="69">
        <f t="shared" si="104"/>
        <v>0</v>
      </c>
      <c r="O52" s="69">
        <f t="shared" si="104"/>
        <v>0</v>
      </c>
      <c r="P52" s="69">
        <f t="shared" si="104"/>
        <v>0</v>
      </c>
      <c r="Q52" s="69">
        <f t="shared" si="104"/>
        <v>0</v>
      </c>
      <c r="R52" s="69">
        <f t="shared" si="104"/>
        <v>0</v>
      </c>
      <c r="S52" s="69">
        <f aca="true" t="shared" si="105" ref="S52:AH52">+ET52</f>
        <v>0.25519109608459933</v>
      </c>
      <c r="T52" s="69">
        <f t="shared" si="105"/>
        <v>0.2563115693835794</v>
      </c>
      <c r="U52" s="69">
        <f t="shared" si="105"/>
        <v>0.2623385463791942</v>
      </c>
      <c r="V52" s="69">
        <f t="shared" si="105"/>
        <v>0.2623385463791942</v>
      </c>
      <c r="W52" s="69">
        <f t="shared" si="105"/>
        <v>0.26230615939834173</v>
      </c>
      <c r="X52" s="69">
        <f t="shared" si="105"/>
        <v>0.26180807085090013</v>
      </c>
      <c r="Y52" s="69">
        <f t="shared" si="105"/>
        <v>0.25662088046125464</v>
      </c>
      <c r="Z52" s="69">
        <f t="shared" si="105"/>
        <v>0.25662088046125464</v>
      </c>
      <c r="AA52" s="69">
        <f t="shared" si="105"/>
        <v>0.26149929701635666</v>
      </c>
      <c r="AB52" s="69">
        <f t="shared" si="105"/>
        <v>0.2630731207140886</v>
      </c>
      <c r="AC52" s="69">
        <f t="shared" si="105"/>
        <v>0.26520613646807534</v>
      </c>
      <c r="AD52" s="69">
        <f t="shared" si="105"/>
        <v>0.26520613646807534</v>
      </c>
      <c r="AE52" s="69">
        <f t="shared" si="105"/>
        <v>0.2622782382787471</v>
      </c>
      <c r="AF52" s="69">
        <f t="shared" si="105"/>
        <v>0.2655646469011271</v>
      </c>
      <c r="AG52" s="69">
        <f t="shared" si="105"/>
        <v>0.26185519435524024</v>
      </c>
      <c r="AH52" s="69">
        <f t="shared" si="105"/>
        <v>0.26185519435524024</v>
      </c>
      <c r="AI52" s="59">
        <f>+C52-S52</f>
        <v>0.006118974169307012</v>
      </c>
      <c r="AJ52" s="69">
        <f>+(AI52/S52)</f>
        <v>0.023978008101342565</v>
      </c>
      <c r="AK52" s="83"/>
      <c r="AL52" s="59">
        <v>0.28566431861687847</v>
      </c>
      <c r="AM52" s="59">
        <v>0.2922193627103242</v>
      </c>
      <c r="AN52" s="59">
        <v>0.29182929653307094</v>
      </c>
      <c r="AO52" s="59">
        <v>0.29182929653307094</v>
      </c>
      <c r="AP52" s="59">
        <v>0.2896115742812482</v>
      </c>
      <c r="AQ52" s="59">
        <v>0.2904844286636265</v>
      </c>
      <c r="AR52" s="59">
        <v>0.2896623024505683</v>
      </c>
      <c r="AS52" s="59">
        <v>0.2896623024505683</v>
      </c>
      <c r="AT52" s="59">
        <v>0.2888431523369793</v>
      </c>
      <c r="AU52" s="59">
        <v>0.2877594885070005</v>
      </c>
      <c r="AV52" s="59">
        <v>0.2860050282734433</v>
      </c>
      <c r="AW52" s="59">
        <v>0.2860050282734433</v>
      </c>
      <c r="AX52" s="59">
        <v>0.2890703156141107</v>
      </c>
      <c r="AY52" s="59">
        <v>0.2871940311638899</v>
      </c>
      <c r="AZ52" s="59">
        <v>0.2872112502610508</v>
      </c>
      <c r="BA52" s="59">
        <v>0.2872112502610508</v>
      </c>
      <c r="BB52" s="59">
        <v>0.2880883332736194</v>
      </c>
      <c r="BC52" s="59">
        <v>0.27926724499393624</v>
      </c>
      <c r="BD52" s="59">
        <v>0.2802681815242714</v>
      </c>
      <c r="BE52" s="59">
        <v>0.2802681815242714</v>
      </c>
      <c r="BF52" s="59">
        <v>0.2816812930975718</v>
      </c>
      <c r="BG52" s="59">
        <v>0.27989363541059936</v>
      </c>
      <c r="BH52" s="59">
        <v>0.2821169315161019</v>
      </c>
      <c r="BI52" s="59">
        <v>0.2821169315161019</v>
      </c>
      <c r="BJ52" s="59">
        <v>0.28349529513907146</v>
      </c>
      <c r="BK52" s="59">
        <v>0.28451717053455056</v>
      </c>
      <c r="BL52" s="59">
        <v>0.2840938270844644</v>
      </c>
      <c r="BM52" s="59">
        <v>0.2840938270844644</v>
      </c>
      <c r="BN52" s="59">
        <v>0.28165813715636523</v>
      </c>
      <c r="BO52" s="59">
        <v>0.2799983336861226</v>
      </c>
      <c r="BP52" s="59">
        <v>0.2808080205898561</v>
      </c>
      <c r="BQ52" s="59">
        <v>0.2808080205898561</v>
      </c>
      <c r="BR52" s="59">
        <v>0.2804041626824212</v>
      </c>
      <c r="BS52" s="59">
        <v>0.2813394118203395</v>
      </c>
      <c r="BT52" s="59">
        <v>0.2804032318436491</v>
      </c>
      <c r="BU52" s="59">
        <v>0.2804032318436491</v>
      </c>
      <c r="BV52" s="59">
        <v>0.27974550087379557</v>
      </c>
      <c r="BW52" s="59">
        <v>0.2839395854125198</v>
      </c>
      <c r="BX52" s="59">
        <v>0.28329085798215986</v>
      </c>
      <c r="BY52" s="59">
        <v>0.28329085798215986</v>
      </c>
      <c r="BZ52" s="59">
        <v>0.2837450180742222</v>
      </c>
      <c r="CA52" s="59">
        <v>0.2843889181877863</v>
      </c>
      <c r="CB52" s="59">
        <v>0.28555775437394454</v>
      </c>
      <c r="CC52" s="59">
        <v>0.28555775437394454</v>
      </c>
      <c r="CD52" s="59">
        <v>0.28448693082369264</v>
      </c>
      <c r="CE52" s="59">
        <v>0.28590136232123065</v>
      </c>
      <c r="CF52" s="59">
        <v>0.28633975928516264</v>
      </c>
      <c r="CG52" s="59">
        <v>0.28633975928516264</v>
      </c>
      <c r="CH52" s="59">
        <v>0.2829996087717615</v>
      </c>
      <c r="CI52" s="59">
        <v>0.28186845927007115</v>
      </c>
      <c r="CJ52" s="59">
        <v>0.2809175442740249</v>
      </c>
      <c r="CK52" s="59">
        <v>0.2809175442740249</v>
      </c>
      <c r="CL52" s="59">
        <v>0.2777728282912666</v>
      </c>
      <c r="CM52" s="59">
        <v>0.2767071383179595</v>
      </c>
      <c r="CN52" s="59">
        <v>0.2751779607395701</v>
      </c>
      <c r="CO52" s="59">
        <v>0.2751779607395701</v>
      </c>
      <c r="CP52" s="59">
        <v>0.2745591934295114</v>
      </c>
      <c r="CQ52" s="59">
        <v>0.2753128982490044</v>
      </c>
      <c r="CR52" s="59">
        <v>0.27225202612595995</v>
      </c>
      <c r="CS52" s="59">
        <v>0.27225202612595995</v>
      </c>
      <c r="CT52" s="59">
        <v>0.2721296882810932</v>
      </c>
      <c r="CU52" s="59">
        <v>0.2700083814478111</v>
      </c>
      <c r="CV52" s="59">
        <v>0.26521860817666776</v>
      </c>
      <c r="CW52" s="59">
        <v>0.26521860817666776</v>
      </c>
      <c r="CX52" s="59">
        <v>0.2662506623996814</v>
      </c>
      <c r="CY52" s="59">
        <v>0.26288181374262454</v>
      </c>
      <c r="CZ52" s="59">
        <v>0.26678028737683246</v>
      </c>
      <c r="DA52" s="59">
        <v>0.26678028737683246</v>
      </c>
      <c r="DB52" s="59">
        <v>0.2678845590404746</v>
      </c>
      <c r="DC52" s="59">
        <v>0.2622362572836476</v>
      </c>
      <c r="DD52" s="59">
        <v>0.2597343468275294</v>
      </c>
      <c r="DE52" s="59">
        <v>0.2597343468275294</v>
      </c>
      <c r="DF52" s="59">
        <v>0.2557348262317172</v>
      </c>
      <c r="DG52" s="59">
        <v>0.25019376461254517</v>
      </c>
      <c r="DH52" s="59">
        <v>0.245695390167763</v>
      </c>
      <c r="DI52" s="59">
        <v>0.245695390167763</v>
      </c>
      <c r="DJ52" s="59">
        <v>0.24303560268690688</v>
      </c>
      <c r="DK52" s="59">
        <v>0.24159109969666182</v>
      </c>
      <c r="DL52" s="59">
        <v>0.23929148591713498</v>
      </c>
      <c r="DM52" s="59">
        <v>0.23929148591713498</v>
      </c>
      <c r="DN52" s="59">
        <v>0.23562953635393322</v>
      </c>
      <c r="DO52" s="59">
        <v>0.23520942197096578</v>
      </c>
      <c r="DP52" s="59">
        <v>0.22815951425070236</v>
      </c>
      <c r="DQ52" s="59">
        <v>0.22815951425070236</v>
      </c>
      <c r="DR52" s="59">
        <v>0.22338765523061044</v>
      </c>
      <c r="DS52" s="59">
        <v>0.22376649516423555</v>
      </c>
      <c r="DT52" s="59">
        <v>0.22192977975850903</v>
      </c>
      <c r="DU52" s="59">
        <v>0.22192977975850903</v>
      </c>
      <c r="DV52" s="59">
        <v>0.22076315110483044</v>
      </c>
      <c r="DW52" s="59">
        <v>0.21932711033746652</v>
      </c>
      <c r="DX52" s="59">
        <v>0.2189801687434508</v>
      </c>
      <c r="DY52" s="59">
        <v>0.2189801687434508</v>
      </c>
      <c r="DZ52" s="59">
        <v>0.21793452337654956</v>
      </c>
      <c r="EA52" s="59">
        <v>0.2159528715271344</v>
      </c>
      <c r="EB52" s="59">
        <v>0.21452634149933492</v>
      </c>
      <c r="EC52" s="59">
        <v>0.21452634149933492</v>
      </c>
      <c r="ED52" s="59">
        <v>0.21385241140086766</v>
      </c>
      <c r="EE52" s="59">
        <v>0.21585435472438264</v>
      </c>
      <c r="EF52" s="59">
        <v>0.2123376210427054</v>
      </c>
      <c r="EG52" s="59">
        <v>0.2123376210427054</v>
      </c>
      <c r="EH52" s="59">
        <v>0.21760131736951865</v>
      </c>
      <c r="EI52" s="59">
        <v>0.22320767937216052</v>
      </c>
      <c r="EJ52" s="59">
        <v>0.23031639425445213</v>
      </c>
      <c r="EK52" s="59">
        <v>0.2123376210427054</v>
      </c>
      <c r="EL52" s="59">
        <v>0.23114666739019693</v>
      </c>
      <c r="EM52" s="59">
        <v>0.23397022392736466</v>
      </c>
      <c r="EN52" s="59">
        <v>0.2396840438897586</v>
      </c>
      <c r="EO52" s="59">
        <v>0.2123376210427054</v>
      </c>
      <c r="EP52" s="59">
        <v>0.24367189904897119</v>
      </c>
      <c r="EQ52" s="59">
        <v>0.24530290611804173</v>
      </c>
      <c r="ER52" s="59">
        <v>0.25166065183267766</v>
      </c>
      <c r="ES52" s="59">
        <v>0.25166065183267766</v>
      </c>
      <c r="ET52" s="59">
        <v>0.25519109608459933</v>
      </c>
      <c r="EU52" s="59">
        <v>0.2563115693835794</v>
      </c>
      <c r="EV52" s="59">
        <v>0.2623385463791942</v>
      </c>
      <c r="EW52" s="59">
        <f>+IF(EV52&lt;&gt;"",EV52,IF(EU52&lt;&gt;"",EU52,ET52))</f>
        <v>0.2623385463791942</v>
      </c>
      <c r="EX52" s="59">
        <v>0.26230615939834173</v>
      </c>
      <c r="EY52" s="59">
        <v>0.26180807085090013</v>
      </c>
      <c r="EZ52" s="59">
        <v>0.25662088046125464</v>
      </c>
      <c r="FA52" s="59">
        <f>+IF(EZ52&lt;&gt;"",EZ52,IF(EY52&lt;&gt;"",EY52,EX52))</f>
        <v>0.25662088046125464</v>
      </c>
      <c r="FB52" s="59">
        <v>0.26149929701635666</v>
      </c>
      <c r="FC52" s="59">
        <v>0.2630731207140886</v>
      </c>
      <c r="FD52" s="59">
        <v>0.26520613646807534</v>
      </c>
      <c r="FE52" s="59">
        <f>+IF(FD52&lt;&gt;"",FD52,IF(FC52&lt;&gt;"",FC52,FB52))</f>
        <v>0.26520613646807534</v>
      </c>
      <c r="FF52" s="59">
        <v>0.2622782382787471</v>
      </c>
      <c r="FG52" s="59">
        <v>0.2655646469011271</v>
      </c>
      <c r="FH52" s="59">
        <v>0.26185519435524024</v>
      </c>
      <c r="FI52" s="59">
        <f>+IF(FH52&lt;&gt;"",FH52,IF(FG52&lt;&gt;"",FG52,FF52))</f>
        <v>0.26185519435524024</v>
      </c>
      <c r="FJ52" s="59">
        <v>0.26131007025390635</v>
      </c>
      <c r="FK52" s="59"/>
      <c r="FL52" s="59"/>
      <c r="FM52" s="59">
        <f>+IF(FL52&lt;&gt;"",FL52,IF(FK52&lt;&gt;"",FK52,FJ52))</f>
        <v>0.26131007025390635</v>
      </c>
      <c r="FN52" s="59"/>
      <c r="FO52" s="59"/>
      <c r="FP52" s="59"/>
      <c r="FQ52" s="59">
        <f>+IF(FP52&lt;&gt;"",FP52,IF(FO52&lt;&gt;"",FO52,FN52))</f>
        <v>0</v>
      </c>
      <c r="FR52" s="59"/>
      <c r="FS52" s="59"/>
      <c r="FT52" s="59"/>
      <c r="FU52" s="59">
        <f>+IF(FT52&lt;&gt;"",FT52,IF(FS52&lt;&gt;"",FS52,FR52))</f>
        <v>0</v>
      </c>
      <c r="FV52" s="59"/>
      <c r="FW52" s="59"/>
      <c r="FX52" s="59"/>
      <c r="FY52" s="59">
        <f>+IF(FX52&lt;&gt;"",FX52,IF(FW52&lt;&gt;"",FW52,FV52))</f>
        <v>0</v>
      </c>
      <c r="FZ52" s="59"/>
      <c r="GA52" s="69">
        <f>+AZ52</f>
        <v>0.2872112502610508</v>
      </c>
      <c r="GB52" s="69">
        <f>+BP52</f>
        <v>0.2808080205898561</v>
      </c>
      <c r="GC52" s="69">
        <f>+CF52</f>
        <v>0.28633975928516264</v>
      </c>
      <c r="GD52" s="69">
        <f>+CV52</f>
        <v>0.26521860817666776</v>
      </c>
      <c r="GE52" s="69">
        <f>+DL52</f>
        <v>0.23929148591713498</v>
      </c>
      <c r="GF52" s="69">
        <f>+EC52</f>
        <v>0.21452634149933492</v>
      </c>
      <c r="GG52" s="69">
        <f>+ES52</f>
        <v>0.25166065183267766</v>
      </c>
      <c r="GH52" s="69">
        <f>+IF(FI52&lt;&gt;0,FI52,IF(FE52&lt;&gt;0,FE52,IF(FA52&lt;&gt;0,FA52,EW52)))</f>
        <v>0.26185519435524024</v>
      </c>
      <c r="GI52" s="69">
        <f>+IF(FY52&lt;&gt;0,FY52,IF(FU52&lt;&gt;0,FU52,IF(FQ52&lt;&gt;0,FQ52,FM52)))</f>
        <v>0.26131007025390635</v>
      </c>
      <c r="GJ52" s="59"/>
      <c r="GK52" s="59"/>
      <c r="GL52" s="59"/>
      <c r="GM52" s="59"/>
      <c r="GN52" s="59"/>
      <c r="GO52" s="59"/>
      <c r="GP52" s="59"/>
      <c r="GQ52" s="59"/>
      <c r="GR52" s="59"/>
      <c r="GS52" s="59"/>
      <c r="GT52" s="59"/>
      <c r="GU52" s="59"/>
      <c r="GV52" s="59"/>
      <c r="GW52" s="59"/>
    </row>
    <row r="53" spans="1:205" s="84" customFormat="1" ht="15" customHeight="1">
      <c r="A53" s="81"/>
      <c r="B53" s="82"/>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59"/>
      <c r="AJ53" s="69"/>
      <c r="AK53" s="83"/>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69"/>
      <c r="GB53" s="69"/>
      <c r="GC53" s="69"/>
      <c r="GD53" s="69"/>
      <c r="GE53" s="69"/>
      <c r="GF53" s="69"/>
      <c r="GG53" s="69"/>
      <c r="GH53" s="69"/>
      <c r="GI53" s="69"/>
      <c r="GJ53" s="59"/>
      <c r="GK53" s="59"/>
      <c r="GL53" s="59"/>
      <c r="GM53" s="59"/>
      <c r="GN53" s="59"/>
      <c r="GO53" s="59"/>
      <c r="GP53" s="59"/>
      <c r="GQ53" s="59"/>
      <c r="GR53" s="59"/>
      <c r="GS53" s="59"/>
      <c r="GT53" s="59"/>
      <c r="GU53" s="59"/>
      <c r="GV53" s="59"/>
      <c r="GW53" s="59"/>
    </row>
    <row r="54" spans="1:205" s="84" customFormat="1" ht="15" customHeight="1">
      <c r="A54" s="81"/>
      <c r="B54" s="82" t="s">
        <v>21</v>
      </c>
      <c r="C54" s="69">
        <f aca="true" t="shared" si="106" ref="C54:R54">+FJ54</f>
        <v>0.9183283002334334</v>
      </c>
      <c r="D54" s="69">
        <f t="shared" si="106"/>
        <v>0</v>
      </c>
      <c r="E54" s="69">
        <f t="shared" si="106"/>
        <v>0</v>
      </c>
      <c r="F54" s="69">
        <f t="shared" si="106"/>
        <v>0.9183283002334334</v>
      </c>
      <c r="G54" s="69">
        <f t="shared" si="106"/>
        <v>0</v>
      </c>
      <c r="H54" s="69">
        <f t="shared" si="106"/>
        <v>0</v>
      </c>
      <c r="I54" s="69">
        <f t="shared" si="106"/>
        <v>0</v>
      </c>
      <c r="J54" s="69">
        <f t="shared" si="106"/>
        <v>0</v>
      </c>
      <c r="K54" s="69">
        <f t="shared" si="106"/>
        <v>0</v>
      </c>
      <c r="L54" s="69">
        <f t="shared" si="106"/>
        <v>0</v>
      </c>
      <c r="M54" s="69">
        <f t="shared" si="106"/>
        <v>0</v>
      </c>
      <c r="N54" s="69">
        <f t="shared" si="106"/>
        <v>0</v>
      </c>
      <c r="O54" s="69">
        <f t="shared" si="106"/>
        <v>0</v>
      </c>
      <c r="P54" s="69">
        <f t="shared" si="106"/>
        <v>0</v>
      </c>
      <c r="Q54" s="69">
        <f t="shared" si="106"/>
        <v>0</v>
      </c>
      <c r="R54" s="69">
        <f t="shared" si="106"/>
        <v>0</v>
      </c>
      <c r="S54" s="69">
        <f aca="true" t="shared" si="107" ref="S54:AH54">+ET54</f>
        <v>0.8784196941430809</v>
      </c>
      <c r="T54" s="69">
        <f t="shared" si="107"/>
        <v>0.9235861107732423</v>
      </c>
      <c r="U54" s="69">
        <f t="shared" si="107"/>
        <v>1.0236925552966594</v>
      </c>
      <c r="V54" s="69">
        <f t="shared" si="107"/>
        <v>0.942442672475741</v>
      </c>
      <c r="W54" s="69">
        <f t="shared" si="107"/>
        <v>0.9590506319530577</v>
      </c>
      <c r="X54" s="69">
        <f t="shared" si="107"/>
        <v>0.9485986160088677</v>
      </c>
      <c r="Y54" s="69">
        <f t="shared" si="107"/>
        <v>0.9378996548872486</v>
      </c>
      <c r="Z54" s="69">
        <f t="shared" si="107"/>
        <v>0.9481379183574299</v>
      </c>
      <c r="AA54" s="69">
        <f t="shared" si="107"/>
        <v>1.0216420277927807</v>
      </c>
      <c r="AB54" s="69">
        <f t="shared" si="107"/>
        <v>0.979986745968411</v>
      </c>
      <c r="AC54" s="69">
        <f t="shared" si="107"/>
        <v>0.9583194100851894</v>
      </c>
      <c r="AD54" s="69">
        <f t="shared" si="107"/>
        <v>0.9858682554576454</v>
      </c>
      <c r="AE54" s="69">
        <f t="shared" si="107"/>
        <v>0.9663807965488115</v>
      </c>
      <c r="AF54" s="69">
        <f t="shared" si="107"/>
        <v>1.001747996005729</v>
      </c>
      <c r="AG54" s="69">
        <f t="shared" si="107"/>
        <v>1.0642767951773644</v>
      </c>
      <c r="AH54" s="69">
        <f t="shared" si="107"/>
        <v>1.009985068921505</v>
      </c>
      <c r="AI54" s="59">
        <f>+C54-S54</f>
        <v>0.039908606090352516</v>
      </c>
      <c r="AJ54" s="69">
        <f>+(AI54/S54)</f>
        <v>0.045432276116354954</v>
      </c>
      <c r="AK54" s="83"/>
      <c r="AL54" s="59">
        <f>+AL40/AL34</f>
        <v>1.0030529272596362</v>
      </c>
      <c r="AM54" s="59">
        <f>+AM40/AM34</f>
        <v>1.0964519210399641</v>
      </c>
      <c r="AN54" s="59">
        <f>+AN40/AN34</f>
        <v>0.9965940249368702</v>
      </c>
      <c r="AO54" s="59">
        <f>+AO40/AO34</f>
        <v>1.0278824715994184</v>
      </c>
      <c r="AP54" s="59">
        <f>+AP40/AP34</f>
        <v>0.8934016059534662</v>
      </c>
      <c r="AQ54" s="59">
        <f aca="true" t="shared" si="108" ref="AQ54:CN54">+AQ40/AQ34</f>
        <v>1.0511718137295314</v>
      </c>
      <c r="AR54" s="59">
        <f t="shared" si="108"/>
        <v>0.8563163192198535</v>
      </c>
      <c r="AS54" s="59">
        <f>+AS40/AS34</f>
        <v>0.9315531341980942</v>
      </c>
      <c r="AT54" s="59">
        <f t="shared" si="108"/>
        <v>1.00866917004323</v>
      </c>
      <c r="AU54" s="59">
        <f t="shared" si="108"/>
        <v>0.9304669055035166</v>
      </c>
      <c r="AV54" s="59">
        <f t="shared" si="108"/>
        <v>1.0015180290477204</v>
      </c>
      <c r="AW54" s="59">
        <f>+AW40/AW34</f>
        <v>0.9796956428136954</v>
      </c>
      <c r="AX54" s="59">
        <f t="shared" si="108"/>
        <v>0.9629783538209933</v>
      </c>
      <c r="AY54" s="59">
        <f t="shared" si="108"/>
        <v>0.794699273436809</v>
      </c>
      <c r="AZ54" s="59">
        <f t="shared" si="108"/>
        <v>1.0407655316313675</v>
      </c>
      <c r="BA54" s="59">
        <f>+BA40/BA34</f>
        <v>0.9300737698120352</v>
      </c>
      <c r="BB54" s="59">
        <f t="shared" si="108"/>
        <v>0.9528878471678899</v>
      </c>
      <c r="BC54" s="59">
        <f t="shared" si="108"/>
        <v>1.0366326975841016</v>
      </c>
      <c r="BD54" s="59">
        <f t="shared" si="108"/>
        <v>1.0432439557526487</v>
      </c>
      <c r="BE54" s="59">
        <f>+BE40/BE34</f>
        <v>1.0107488889486935</v>
      </c>
      <c r="BF54" s="59">
        <f t="shared" si="108"/>
        <v>0.8960587181227364</v>
      </c>
      <c r="BG54" s="59">
        <f t="shared" si="108"/>
        <v>0.9218693478631043</v>
      </c>
      <c r="BH54" s="59">
        <f t="shared" si="108"/>
        <v>0.9509156047205632</v>
      </c>
      <c r="BI54" s="59">
        <f>+BI40/BI34</f>
        <v>0.9236142290284485</v>
      </c>
      <c r="BJ54" s="59">
        <f t="shared" si="108"/>
        <v>0.9901447933755405</v>
      </c>
      <c r="BK54" s="59">
        <f t="shared" si="108"/>
        <v>0.9247699957090088</v>
      </c>
      <c r="BL54" s="59">
        <f t="shared" si="108"/>
        <v>0.9259629137611074</v>
      </c>
      <c r="BM54" s="59">
        <f>+BM40/BM34</f>
        <v>0.9466833493299042</v>
      </c>
      <c r="BN54" s="59">
        <f t="shared" si="108"/>
        <v>0.9198594542892542</v>
      </c>
      <c r="BO54" s="59">
        <f t="shared" si="108"/>
        <v>0.9607785090538972</v>
      </c>
      <c r="BP54" s="59">
        <f t="shared" si="108"/>
        <v>1.0277979515316515</v>
      </c>
      <c r="BQ54" s="59">
        <f>+BQ40/BQ34</f>
        <v>0.9674165824408251</v>
      </c>
      <c r="BR54" s="59">
        <f t="shared" si="108"/>
        <v>0.8815030048760915</v>
      </c>
      <c r="BS54" s="59">
        <f t="shared" si="108"/>
        <v>0.9674319171885152</v>
      </c>
      <c r="BT54" s="59">
        <f t="shared" si="108"/>
        <v>1.0003293197488878</v>
      </c>
      <c r="BU54" s="59">
        <f>+BU40/BU34</f>
        <v>0.9497744347059406</v>
      </c>
      <c r="BV54" s="59">
        <f t="shared" si="108"/>
        <v>0.9246750451731562</v>
      </c>
      <c r="BW54" s="59">
        <f t="shared" si="108"/>
        <v>0.9477062741389094</v>
      </c>
      <c r="BX54" s="59">
        <f t="shared" si="108"/>
        <v>0.8245287489182923</v>
      </c>
      <c r="BY54" s="59">
        <f>+BY40/BY34</f>
        <v>0.8969450663845969</v>
      </c>
      <c r="BZ54" s="59">
        <f t="shared" si="108"/>
        <v>0.9749405734568116</v>
      </c>
      <c r="CA54" s="59">
        <f t="shared" si="108"/>
        <v>0.9718600760651498</v>
      </c>
      <c r="CB54" s="59">
        <f t="shared" si="108"/>
        <v>0.9478668121773037</v>
      </c>
      <c r="CC54" s="59">
        <f>+CC40/CC34</f>
        <v>0.9648611132935278</v>
      </c>
      <c r="CD54" s="59">
        <f t="shared" si="108"/>
        <v>1.0000870147154488</v>
      </c>
      <c r="CE54" s="59">
        <f t="shared" si="108"/>
        <v>0.971327282722284</v>
      </c>
      <c r="CF54" s="59">
        <f t="shared" si="108"/>
        <v>1.091505698443737</v>
      </c>
      <c r="CG54" s="59">
        <f>+CG40/CG34</f>
        <v>1.0188285959319958</v>
      </c>
      <c r="CH54" s="59">
        <f t="shared" si="108"/>
        <v>0.8808867037939808</v>
      </c>
      <c r="CI54" s="59">
        <f t="shared" si="108"/>
        <v>0.9395040993523133</v>
      </c>
      <c r="CJ54" s="59">
        <f t="shared" si="108"/>
        <v>1.0146662104072877</v>
      </c>
      <c r="CK54" s="59">
        <f>+CK40/CK34</f>
        <v>0.9456786097198826</v>
      </c>
      <c r="CL54" s="59">
        <f t="shared" si="108"/>
        <v>0.9348221097738171</v>
      </c>
      <c r="CM54" s="59">
        <f t="shared" si="108"/>
        <v>0.9980143935409473</v>
      </c>
      <c r="CN54" s="59">
        <f t="shared" si="108"/>
        <v>0.9209972262410837</v>
      </c>
      <c r="CO54" s="59">
        <f>+CO40/CO34</f>
        <v>0.9502566324680897</v>
      </c>
      <c r="CP54" s="59">
        <f aca="true" t="shared" si="109" ref="CP54:CV54">+CP40/CP34</f>
        <v>0.9553951140388479</v>
      </c>
      <c r="CQ54" s="59">
        <f t="shared" si="109"/>
        <v>0.9636193727071108</v>
      </c>
      <c r="CR54" s="59">
        <f t="shared" si="109"/>
        <v>0.9667377714456519</v>
      </c>
      <c r="CS54" s="59">
        <f>+CS40/CS34</f>
        <v>0.9619821424608508</v>
      </c>
      <c r="CT54" s="59">
        <f t="shared" si="109"/>
        <v>0.987474309120927</v>
      </c>
      <c r="CU54" s="59">
        <f t="shared" si="109"/>
        <v>0.9721750648600497</v>
      </c>
      <c r="CV54" s="59">
        <f t="shared" si="109"/>
        <v>0.977507597060349</v>
      </c>
      <c r="CW54" s="59">
        <f>+CW40/CW34</f>
        <v>0.979181690739838</v>
      </c>
      <c r="CX54" s="59">
        <f aca="true" t="shared" si="110" ref="CX54:DF54">+CX40/CX34</f>
        <v>0.8792852714877614</v>
      </c>
      <c r="CY54" s="59">
        <f t="shared" si="110"/>
        <v>0.9579673812148863</v>
      </c>
      <c r="CZ54" s="59">
        <f t="shared" si="110"/>
        <v>1.0971667444769866</v>
      </c>
      <c r="DA54" s="59">
        <f>+DA40/DA34</f>
        <v>0.9751225311561176</v>
      </c>
      <c r="DB54" s="59">
        <f t="shared" si="110"/>
        <v>0.8440263107696238</v>
      </c>
      <c r="DC54" s="59">
        <f t="shared" si="110"/>
        <v>0.9606968431718403</v>
      </c>
      <c r="DD54" s="59">
        <f t="shared" si="110"/>
        <v>0.9526723980076447</v>
      </c>
      <c r="DE54" s="59">
        <f>+DE40/DE34</f>
        <v>0.9205973268879546</v>
      </c>
      <c r="DF54" s="59">
        <f t="shared" si="110"/>
        <v>0.9700098072344254</v>
      </c>
      <c r="DG54" s="59">
        <f aca="true" t="shared" si="111" ref="DG54:DP54">+DG40/DG34</f>
        <v>0.9710663419181338</v>
      </c>
      <c r="DH54" s="59">
        <f t="shared" si="111"/>
        <v>0.9488952715029714</v>
      </c>
      <c r="DI54" s="59">
        <f>+DI40/DI34</f>
        <v>0.9634262608833625</v>
      </c>
      <c r="DJ54" s="59">
        <f t="shared" si="111"/>
        <v>1.0587937268995224</v>
      </c>
      <c r="DK54" s="59">
        <f t="shared" si="111"/>
        <v>0.9295838379531706</v>
      </c>
      <c r="DL54" s="59">
        <f t="shared" si="111"/>
        <v>0.9372702520635281</v>
      </c>
      <c r="DM54" s="59">
        <f>+DM40/DM34</f>
        <v>0.9749939965717676</v>
      </c>
      <c r="DN54" s="59">
        <f t="shared" si="111"/>
        <v>0.8959329234539756</v>
      </c>
      <c r="DO54" s="59">
        <f t="shared" si="111"/>
        <v>0.9114909058506235</v>
      </c>
      <c r="DP54" s="59">
        <f t="shared" si="111"/>
        <v>1.0044402128188152</v>
      </c>
      <c r="DQ54" s="59">
        <f aca="true" t="shared" si="112" ref="DQ54:DV54">+DQ40/DQ34</f>
        <v>0.9371743248492694</v>
      </c>
      <c r="DR54" s="59">
        <f t="shared" si="112"/>
        <v>0.8972905918206477</v>
      </c>
      <c r="DS54" s="59">
        <f t="shared" si="112"/>
        <v>1.0144889251457352</v>
      </c>
      <c r="DT54" s="59">
        <f t="shared" si="112"/>
        <v>0.9536470086522126</v>
      </c>
      <c r="DU54" s="59">
        <f t="shared" si="112"/>
        <v>0.9552348300288054</v>
      </c>
      <c r="DV54" s="59">
        <f t="shared" si="112"/>
        <v>0.9590452978439956</v>
      </c>
      <c r="DW54" s="59">
        <f aca="true" t="shared" si="113" ref="DW54:EG54">+DW40/DW34</f>
        <v>0.9459658426414217</v>
      </c>
      <c r="DX54" s="59">
        <f t="shared" si="113"/>
        <v>0.9126214255462987</v>
      </c>
      <c r="DY54" s="59">
        <f t="shared" si="113"/>
        <v>0.93920059218184</v>
      </c>
      <c r="DZ54" s="59">
        <f t="shared" si="113"/>
        <v>1.0123159331817644</v>
      </c>
      <c r="EA54" s="59">
        <f t="shared" si="113"/>
        <v>0.9205783141123594</v>
      </c>
      <c r="EB54" s="59">
        <f t="shared" si="113"/>
        <v>0.9577262303559653</v>
      </c>
      <c r="EC54" s="59">
        <f t="shared" si="113"/>
        <v>0.9638161677120796</v>
      </c>
      <c r="ED54" s="59">
        <f t="shared" si="113"/>
        <v>0.9888872327875741</v>
      </c>
      <c r="EE54" s="59">
        <f>+EE40/EE34</f>
        <v>1.0019400347761007</v>
      </c>
      <c r="EF54" s="59">
        <f>+EF40/EF34</f>
        <v>0.8634614725419271</v>
      </c>
      <c r="EG54" s="59">
        <f t="shared" si="113"/>
        <v>0.9512070597665949</v>
      </c>
      <c r="EH54" s="59">
        <f aca="true" t="shared" si="114" ref="EH54:EM54">+EH40/EH34</f>
        <v>0.8401811478186145</v>
      </c>
      <c r="EI54" s="59">
        <f t="shared" si="114"/>
        <v>0.8442442677647776</v>
      </c>
      <c r="EJ54" s="59">
        <f t="shared" si="114"/>
        <v>0.8411222148718923</v>
      </c>
      <c r="EK54" s="59">
        <f t="shared" si="114"/>
        <v>0.8418540090512295</v>
      </c>
      <c r="EL54" s="59">
        <f t="shared" si="114"/>
        <v>0.8425662860656538</v>
      </c>
      <c r="EM54" s="59">
        <f t="shared" si="114"/>
        <v>0.9791451458093734</v>
      </c>
      <c r="EN54" s="59">
        <f aca="true" t="shared" si="115" ref="EN54:ES54">+EN40/EN34</f>
        <v>0.9713347066411343</v>
      </c>
      <c r="EO54" s="59">
        <f t="shared" si="115"/>
        <v>0.9270400136766933</v>
      </c>
      <c r="EP54" s="59">
        <f t="shared" si="115"/>
        <v>1.0664680294673694</v>
      </c>
      <c r="EQ54" s="59">
        <f t="shared" si="115"/>
        <v>0.9856813586942826</v>
      </c>
      <c r="ER54" s="59">
        <f t="shared" si="115"/>
        <v>1.0527665933251231</v>
      </c>
      <c r="ES54" s="59">
        <f t="shared" si="115"/>
        <v>1.0351323728411386</v>
      </c>
      <c r="ET54" s="59">
        <f aca="true" t="shared" si="116" ref="ET54:FJ54">+ET40/ET34</f>
        <v>0.8784196941430809</v>
      </c>
      <c r="EU54" s="59">
        <f t="shared" si="116"/>
        <v>0.9235861107732423</v>
      </c>
      <c r="EV54" s="59">
        <f t="shared" si="116"/>
        <v>1.0236925552966594</v>
      </c>
      <c r="EW54" s="59">
        <f t="shared" si="116"/>
        <v>0.942442672475741</v>
      </c>
      <c r="EX54" s="59">
        <f t="shared" si="116"/>
        <v>0.9590506319530577</v>
      </c>
      <c r="EY54" s="59">
        <f t="shared" si="116"/>
        <v>0.9485986160088677</v>
      </c>
      <c r="EZ54" s="59">
        <f t="shared" si="116"/>
        <v>0.9378996548872486</v>
      </c>
      <c r="FA54" s="59">
        <f>+_xlfn.IFERROR(FA40/FA34,0)</f>
        <v>0.9481379183574299</v>
      </c>
      <c r="FB54" s="59">
        <f t="shared" si="116"/>
        <v>1.0216420277927807</v>
      </c>
      <c r="FC54" s="59">
        <f t="shared" si="116"/>
        <v>0.979986745968411</v>
      </c>
      <c r="FD54" s="59">
        <f t="shared" si="116"/>
        <v>0.9583194100851894</v>
      </c>
      <c r="FE54" s="59">
        <f>+_xlfn.IFERROR(FE40/FE34,0)</f>
        <v>0.9858682554576454</v>
      </c>
      <c r="FF54" s="59">
        <f t="shared" si="116"/>
        <v>0.9663807965488115</v>
      </c>
      <c r="FG54" s="59">
        <f t="shared" si="116"/>
        <v>1.001747996005729</v>
      </c>
      <c r="FH54" s="59">
        <f t="shared" si="116"/>
        <v>1.0642767951773644</v>
      </c>
      <c r="FI54" s="59">
        <f>+_xlfn.IFERROR(FI40/FI34,0)</f>
        <v>1.009985068921505</v>
      </c>
      <c r="FJ54" s="59">
        <f t="shared" si="116"/>
        <v>0.9183283002334334</v>
      </c>
      <c r="FK54" s="59"/>
      <c r="FL54" s="59"/>
      <c r="FM54" s="59">
        <f>+FM40/FM34</f>
        <v>0.9183283002334334</v>
      </c>
      <c r="FN54" s="59"/>
      <c r="FO54" s="59"/>
      <c r="FP54" s="59"/>
      <c r="FQ54" s="59">
        <f>+_xlfn.IFERROR(FQ40/FQ34,0)</f>
        <v>0</v>
      </c>
      <c r="FR54" s="59"/>
      <c r="FS54" s="59"/>
      <c r="FT54" s="59"/>
      <c r="FU54" s="59">
        <f>+_xlfn.IFERROR(FU40/FU34,0)</f>
        <v>0</v>
      </c>
      <c r="FV54" s="59"/>
      <c r="FW54" s="59"/>
      <c r="FX54" s="59"/>
      <c r="FY54" s="59">
        <f>+_xlfn.IFERROR(FY40/FY34,0)</f>
        <v>0</v>
      </c>
      <c r="FZ54" s="59"/>
      <c r="GA54" s="69">
        <f aca="true" t="shared" si="117" ref="GA54:GF54">+GA40/GA34</f>
        <v>0.965055212314813</v>
      </c>
      <c r="GB54" s="69">
        <f t="shared" si="117"/>
        <v>0.9608314849957413</v>
      </c>
      <c r="GC54" s="69">
        <f t="shared" si="117"/>
        <v>0.9583497922577454</v>
      </c>
      <c r="GD54" s="69">
        <f t="shared" si="117"/>
        <v>0.9600185720823409</v>
      </c>
      <c r="GE54" s="69">
        <f t="shared" si="117"/>
        <v>0.9582220220223189</v>
      </c>
      <c r="GF54" s="69">
        <f t="shared" si="117"/>
        <v>0.9490995155390578</v>
      </c>
      <c r="GG54" s="69">
        <f>+GG40/GG34</f>
        <v>0.9397994904158062</v>
      </c>
      <c r="GH54" s="69">
        <f>+GH40/GH34</f>
        <v>0.973536273920607</v>
      </c>
      <c r="GI54" s="69">
        <f>+GI40/GI34</f>
        <v>0.9183283002334334</v>
      </c>
      <c r="GJ54" s="59"/>
      <c r="GK54" s="59"/>
      <c r="GL54" s="59"/>
      <c r="GM54" s="59"/>
      <c r="GN54" s="59"/>
      <c r="GO54" s="59"/>
      <c r="GP54" s="59"/>
      <c r="GQ54" s="59"/>
      <c r="GR54" s="59"/>
      <c r="GS54" s="59"/>
      <c r="GT54" s="59"/>
      <c r="GU54" s="59"/>
      <c r="GV54" s="59"/>
      <c r="GW54" s="59"/>
    </row>
    <row r="55" spans="1:205" s="84" customFormat="1" ht="15" customHeight="1">
      <c r="A55" s="81"/>
      <c r="B55" s="82"/>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59"/>
      <c r="AJ55" s="69"/>
      <c r="AK55" s="83"/>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69"/>
      <c r="GB55" s="69"/>
      <c r="GC55" s="69"/>
      <c r="GD55" s="69"/>
      <c r="GE55" s="69"/>
      <c r="GF55" s="69"/>
      <c r="GG55" s="69"/>
      <c r="GH55" s="69"/>
      <c r="GI55" s="69"/>
      <c r="GJ55" s="59"/>
      <c r="GK55" s="59"/>
      <c r="GL55" s="59"/>
      <c r="GM55" s="59"/>
      <c r="GN55" s="59"/>
      <c r="GO55" s="59"/>
      <c r="GP55" s="59"/>
      <c r="GQ55" s="59"/>
      <c r="GR55" s="59"/>
      <c r="GS55" s="59"/>
      <c r="GT55" s="59"/>
      <c r="GU55" s="59"/>
      <c r="GV55" s="59"/>
      <c r="GW55" s="59"/>
    </row>
    <row r="56" spans="1:205" s="84" customFormat="1" ht="15" customHeight="1">
      <c r="A56" s="81"/>
      <c r="B56" s="82" t="s">
        <v>42</v>
      </c>
      <c r="C56" s="69">
        <f aca="true" t="shared" si="118" ref="C56:R56">+FJ56</f>
        <v>0.9757786797210484</v>
      </c>
      <c r="D56" s="69">
        <f t="shared" si="118"/>
        <v>0</v>
      </c>
      <c r="E56" s="69">
        <f t="shared" si="118"/>
        <v>0</v>
      </c>
      <c r="F56" s="69">
        <f t="shared" si="118"/>
        <v>0.9757786797210484</v>
      </c>
      <c r="G56" s="69">
        <f t="shared" si="118"/>
        <v>0</v>
      </c>
      <c r="H56" s="69">
        <f t="shared" si="118"/>
        <v>0</v>
      </c>
      <c r="I56" s="69">
        <f t="shared" si="118"/>
        <v>0</v>
      </c>
      <c r="J56" s="69">
        <f t="shared" si="118"/>
        <v>0</v>
      </c>
      <c r="K56" s="69">
        <f t="shared" si="118"/>
        <v>0</v>
      </c>
      <c r="L56" s="69">
        <f t="shared" si="118"/>
        <v>0</v>
      </c>
      <c r="M56" s="69">
        <f t="shared" si="118"/>
        <v>0</v>
      </c>
      <c r="N56" s="69">
        <f t="shared" si="118"/>
        <v>0</v>
      </c>
      <c r="O56" s="69">
        <f t="shared" si="118"/>
        <v>0</v>
      </c>
      <c r="P56" s="69">
        <f t="shared" si="118"/>
        <v>0</v>
      </c>
      <c r="Q56" s="69">
        <f t="shared" si="118"/>
        <v>0</v>
      </c>
      <c r="R56" s="69">
        <f t="shared" si="118"/>
        <v>0</v>
      </c>
      <c r="S56" s="69">
        <f aca="true" t="shared" si="119" ref="S56:AH56">+ET56</f>
        <v>0.9312275122671261</v>
      </c>
      <c r="T56" s="69">
        <f t="shared" si="119"/>
        <v>0.925191106702328</v>
      </c>
      <c r="U56" s="69">
        <f t="shared" si="119"/>
        <v>0.9377012297175833</v>
      </c>
      <c r="V56" s="69">
        <f t="shared" si="119"/>
        <v>0.9377012297175833</v>
      </c>
      <c r="W56" s="69">
        <f t="shared" si="119"/>
        <v>0.9464816572827183</v>
      </c>
      <c r="X56" s="69">
        <f t="shared" si="119"/>
        <v>0.9545146506198059</v>
      </c>
      <c r="Y56" s="69">
        <f t="shared" si="119"/>
        <v>0.9627188022096145</v>
      </c>
      <c r="Z56" s="69">
        <f t="shared" si="119"/>
        <v>0.9627188022096145</v>
      </c>
      <c r="AA56" s="69">
        <f t="shared" si="119"/>
        <v>0.9801444928183722</v>
      </c>
      <c r="AB56" s="69">
        <f t="shared" si="119"/>
        <v>0.9802218897169561</v>
      </c>
      <c r="AC56" s="69">
        <f t="shared" si="119"/>
        <v>0.978984067807173</v>
      </c>
      <c r="AD56" s="69">
        <f t="shared" si="119"/>
        <v>0.978984067807173</v>
      </c>
      <c r="AE56" s="69">
        <f t="shared" si="119"/>
        <v>0.9699787999066496</v>
      </c>
      <c r="AF56" s="69">
        <f t="shared" si="119"/>
        <v>0.9715861002373373</v>
      </c>
      <c r="AG56" s="69">
        <f t="shared" si="119"/>
        <v>0.973536289163651</v>
      </c>
      <c r="AH56" s="69">
        <f t="shared" si="119"/>
        <v>0.973536289163651</v>
      </c>
      <c r="AI56" s="59">
        <f>+C56-S56</f>
        <v>0.04455116745392229</v>
      </c>
      <c r="AJ56" s="69">
        <f>+(AI56/S56)</f>
        <v>0.04784133508411919</v>
      </c>
      <c r="AK56" s="83"/>
      <c r="AL56" s="59">
        <v>0.9571585314800866</v>
      </c>
      <c r="AM56" s="59">
        <v>0.9657688810838169</v>
      </c>
      <c r="AN56" s="59">
        <v>0.9663752221190736</v>
      </c>
      <c r="AO56" s="59">
        <v>0.9663752221190736</v>
      </c>
      <c r="AP56" s="59">
        <v>0.9693335135503841</v>
      </c>
      <c r="AQ56" s="59">
        <v>0.9658776381566604</v>
      </c>
      <c r="AR56" s="59">
        <v>0.9606648957449581</v>
      </c>
      <c r="AS56" s="59">
        <v>0.9606648957449581</v>
      </c>
      <c r="AT56" s="59">
        <v>0.9640567133245814</v>
      </c>
      <c r="AU56" s="59">
        <v>0.9647945299594747</v>
      </c>
      <c r="AV56" s="59">
        <v>0.9695097679104832</v>
      </c>
      <c r="AW56" s="59">
        <v>0.9695097679104832</v>
      </c>
      <c r="AX56" s="59">
        <v>0.9705942486579157</v>
      </c>
      <c r="AY56" s="59">
        <v>0.9616864056400181</v>
      </c>
      <c r="AZ56" s="59">
        <v>0.9650552123148131</v>
      </c>
      <c r="BA56" s="59">
        <v>0.9650552123148131</v>
      </c>
      <c r="BB56" s="59">
        <v>0.9611513054973787</v>
      </c>
      <c r="BC56" s="59">
        <v>0.9583978007566569</v>
      </c>
      <c r="BD56" s="59">
        <v>0.9619273832568025</v>
      </c>
      <c r="BE56" s="59">
        <v>0.9619273832568025</v>
      </c>
      <c r="BF56" s="59">
        <v>0.9623892538717649</v>
      </c>
      <c r="BG56" s="59">
        <v>0.9518009340270684</v>
      </c>
      <c r="BH56" s="59">
        <v>0.9600621483062372</v>
      </c>
      <c r="BI56" s="59">
        <v>0.9600621483062372</v>
      </c>
      <c r="BJ56" s="59">
        <v>0.9583977997753569</v>
      </c>
      <c r="BK56" s="59">
        <v>0.9578377906655529</v>
      </c>
      <c r="BL56" s="59">
        <v>0.951245298931163</v>
      </c>
      <c r="BM56" s="59">
        <v>0.951245298931163</v>
      </c>
      <c r="BN56" s="59">
        <v>0.9473859380917409</v>
      </c>
      <c r="BO56" s="59">
        <v>0.9618824174091599</v>
      </c>
      <c r="BP56" s="59">
        <v>0.9608314849957418</v>
      </c>
      <c r="BQ56" s="59">
        <v>0.9608314849957418</v>
      </c>
      <c r="BR56" s="59">
        <v>0.9552744237968641</v>
      </c>
      <c r="BS56" s="59">
        <v>0.9501582425501025</v>
      </c>
      <c r="BT56" s="59">
        <v>0.9470983352675663</v>
      </c>
      <c r="BU56" s="59">
        <v>0.9470983352675663</v>
      </c>
      <c r="BV56" s="59">
        <v>0.9492349486763559</v>
      </c>
      <c r="BW56" s="59">
        <v>0.9513471529936672</v>
      </c>
      <c r="BX56" s="59">
        <v>0.9401919445265937</v>
      </c>
      <c r="BY56" s="59">
        <v>0.9401919445265937</v>
      </c>
      <c r="BZ56" s="59">
        <v>0.938955124111489</v>
      </c>
      <c r="CA56" s="59">
        <v>0.9432303690857375</v>
      </c>
      <c r="CB56" s="59">
        <v>0.9451698945806638</v>
      </c>
      <c r="CC56" s="59">
        <v>0.9451698945806638</v>
      </c>
      <c r="CD56" s="59">
        <v>0.9521195611223557</v>
      </c>
      <c r="CE56" s="59">
        <v>0.9530993708999272</v>
      </c>
      <c r="CF56" s="59">
        <v>0.9583497922577449</v>
      </c>
      <c r="CG56" s="59">
        <v>0.9583497922577449</v>
      </c>
      <c r="CH56" s="59">
        <v>0.9579416665947814</v>
      </c>
      <c r="CI56" s="59">
        <v>0.9557702798459665</v>
      </c>
      <c r="CJ56" s="59">
        <v>0.9572362966403007</v>
      </c>
      <c r="CK56" s="59">
        <v>0.9572362966403007</v>
      </c>
      <c r="CL56" s="59">
        <v>0.9579397649120904</v>
      </c>
      <c r="CM56" s="59">
        <v>0.9620223807887633</v>
      </c>
      <c r="CN56" s="59">
        <v>0.9700270330596334</v>
      </c>
      <c r="CO56" s="59">
        <v>0.9700270330596334</v>
      </c>
      <c r="CP56" s="59">
        <v>0.968264098321197</v>
      </c>
      <c r="CQ56" s="59">
        <v>0.9675148415275986</v>
      </c>
      <c r="CR56" s="59">
        <v>0.9691372702592181</v>
      </c>
      <c r="CS56" s="59">
        <v>0.9691372702592181</v>
      </c>
      <c r="CT56" s="59">
        <v>0.968344554841321</v>
      </c>
      <c r="CU56" s="59">
        <v>0.9684336677882509</v>
      </c>
      <c r="CV56" s="59">
        <v>0.9600185720823378</v>
      </c>
      <c r="CW56" s="59">
        <v>0.9600185720823378</v>
      </c>
      <c r="CX56" s="59">
        <v>0.959580431083764</v>
      </c>
      <c r="CY56" s="59">
        <v>0.9609420845747096</v>
      </c>
      <c r="CZ56" s="59">
        <v>0.9666761881213891</v>
      </c>
      <c r="DA56" s="59">
        <v>0.9666761881213891</v>
      </c>
      <c r="DB56" s="59">
        <v>0.9588358048498856</v>
      </c>
      <c r="DC56" s="59">
        <v>0.9560063795560094</v>
      </c>
      <c r="DD56" s="59">
        <v>0.9586255752292155</v>
      </c>
      <c r="DE56" s="59">
        <v>0.9586255752292155</v>
      </c>
      <c r="DF56" s="59">
        <v>0.9599531872539704</v>
      </c>
      <c r="DG56" s="59">
        <v>0.960680006421604</v>
      </c>
      <c r="DH56" s="59">
        <v>0.9590855677753873</v>
      </c>
      <c r="DI56" s="59">
        <v>0.9590855677753873</v>
      </c>
      <c r="DJ56" s="59">
        <v>0.965358925345507</v>
      </c>
      <c r="DK56" s="59">
        <v>0.9616090063216243</v>
      </c>
      <c r="DL56" s="59">
        <v>0.958217622405078</v>
      </c>
      <c r="DM56" s="59">
        <v>0.958217622405078</v>
      </c>
      <c r="DN56" s="59">
        <v>0.9589543976184798</v>
      </c>
      <c r="DO56" s="59">
        <v>0.9552596736366767</v>
      </c>
      <c r="DP56" s="59">
        <v>0.9496946250874158</v>
      </c>
      <c r="DQ56" s="59">
        <v>0.9496946250874158</v>
      </c>
      <c r="DR56" s="59">
        <v>0.9535283643582187</v>
      </c>
      <c r="DS56" s="59">
        <v>0.9580337436890786</v>
      </c>
      <c r="DT56" s="59">
        <v>0.9581551932256025</v>
      </c>
      <c r="DU56" s="59">
        <v>0.9581551932256025</v>
      </c>
      <c r="DV56" s="59">
        <v>0.9571576490046272</v>
      </c>
      <c r="DW56" s="59">
        <v>0.9548840386740314</v>
      </c>
      <c r="DX56" s="59">
        <v>0.9514898895867628</v>
      </c>
      <c r="DY56" s="59">
        <v>0.9514898895867628</v>
      </c>
      <c r="DZ56" s="59">
        <v>0.9483643561061431</v>
      </c>
      <c r="EA56" s="59">
        <v>0.9474298675371895</v>
      </c>
      <c r="EB56" s="59">
        <v>0.9490528075687412</v>
      </c>
      <c r="EC56" s="59">
        <v>0.9490528075687412</v>
      </c>
      <c r="ED56" s="59">
        <v>0.9562351134904786</v>
      </c>
      <c r="EE56" s="59">
        <v>0.9629753023387556</v>
      </c>
      <c r="EF56" s="59">
        <v>0.9522244003830531</v>
      </c>
      <c r="EG56" s="59">
        <v>0.9522244003830531</v>
      </c>
      <c r="EH56" s="59">
        <v>0.9484482114338301</v>
      </c>
      <c r="EI56" s="59">
        <v>0.9352651753097942</v>
      </c>
      <c r="EJ56" s="59">
        <v>0.9257180305898267</v>
      </c>
      <c r="EK56" s="59">
        <v>0.9522244003830531</v>
      </c>
      <c r="EL56" s="59">
        <v>0.9144865921763855</v>
      </c>
      <c r="EM56" s="59">
        <v>0.917382635712525</v>
      </c>
      <c r="EN56" s="59">
        <v>0.9224507439883788</v>
      </c>
      <c r="EO56" s="59">
        <v>0.9522244003830531</v>
      </c>
      <c r="EP56" s="59">
        <v>0.9271171437216909</v>
      </c>
      <c r="EQ56" s="59">
        <v>0.932582229766814</v>
      </c>
      <c r="ER56" s="59">
        <v>0.9397994904158062</v>
      </c>
      <c r="ES56" s="59">
        <v>0.9397994904158062</v>
      </c>
      <c r="ET56" s="59">
        <v>0.9312275122671261</v>
      </c>
      <c r="EU56" s="59">
        <v>0.925191106702328</v>
      </c>
      <c r="EV56" s="59">
        <v>0.9377012297175833</v>
      </c>
      <c r="EW56" s="59">
        <f>+IF(EV56&lt;&gt;"",EV56,IF(EU56&lt;&gt;"",EU56,ET56))</f>
        <v>0.9377012297175833</v>
      </c>
      <c r="EX56" s="59">
        <v>0.9464816572827183</v>
      </c>
      <c r="EY56" s="59">
        <v>0.9545146506198059</v>
      </c>
      <c r="EZ56" s="59">
        <v>0.9627188022096145</v>
      </c>
      <c r="FA56" s="59">
        <f>+IF(EZ56&lt;&gt;"",EZ56,IF(EY56&lt;&gt;"",EY56,EX56))</f>
        <v>0.9627188022096145</v>
      </c>
      <c r="FB56" s="59">
        <v>0.9801444928183722</v>
      </c>
      <c r="FC56" s="59">
        <v>0.9802218897169561</v>
      </c>
      <c r="FD56" s="59">
        <v>0.978984067807173</v>
      </c>
      <c r="FE56" s="59">
        <f>+IF(FD56&lt;&gt;"",FD56,IF(FC56&lt;&gt;"",FC56,FB56))</f>
        <v>0.978984067807173</v>
      </c>
      <c r="FF56" s="59">
        <v>0.9699787999066496</v>
      </c>
      <c r="FG56" s="59">
        <v>0.9715861002373373</v>
      </c>
      <c r="FH56" s="59">
        <v>0.973536289163651</v>
      </c>
      <c r="FI56" s="59">
        <f>+IF(FH56&lt;&gt;"",FH56,IF(FG56&lt;&gt;"",FG56,FF56))</f>
        <v>0.973536289163651</v>
      </c>
      <c r="FJ56" s="59">
        <v>0.9757786797210484</v>
      </c>
      <c r="FK56" s="59"/>
      <c r="FL56" s="59"/>
      <c r="FM56" s="59">
        <f>+IF(FL56&lt;&gt;"",FL56,IF(FK56&lt;&gt;"",FK56,FJ56))</f>
        <v>0.9757786797210484</v>
      </c>
      <c r="FN56" s="59"/>
      <c r="FO56" s="59"/>
      <c r="FP56" s="59"/>
      <c r="FQ56" s="59">
        <f>+IF(FP56&lt;&gt;"",FP56,IF(FO56&lt;&gt;"",FO56,FN56))</f>
        <v>0</v>
      </c>
      <c r="FR56" s="59"/>
      <c r="FS56" s="59"/>
      <c r="FT56" s="59"/>
      <c r="FU56" s="59">
        <f>+IF(FT56&lt;&gt;"",FT56,IF(FS56&lt;&gt;"",FS56,FR56))</f>
        <v>0</v>
      </c>
      <c r="FV56" s="59"/>
      <c r="FW56" s="59"/>
      <c r="FX56" s="59"/>
      <c r="FY56" s="59">
        <f>+IF(FX56&lt;&gt;"",FX56,IF(FW56&lt;&gt;"",FW56,FV56))</f>
        <v>0</v>
      </c>
      <c r="FZ56" s="59"/>
      <c r="GA56" s="69">
        <f>+AZ56</f>
        <v>0.9650552123148131</v>
      </c>
      <c r="GB56" s="69">
        <f>+BP56</f>
        <v>0.9608314849957418</v>
      </c>
      <c r="GC56" s="69">
        <f>+CF56</f>
        <v>0.9583497922577449</v>
      </c>
      <c r="GD56" s="69">
        <f>+CV56</f>
        <v>0.9600185720823378</v>
      </c>
      <c r="GE56" s="69">
        <f>+DL56</f>
        <v>0.958217622405078</v>
      </c>
      <c r="GF56" s="69">
        <f>+EC56</f>
        <v>0.9490528075687412</v>
      </c>
      <c r="GG56" s="69">
        <f>+ES56</f>
        <v>0.9397994904158062</v>
      </c>
      <c r="GH56" s="69">
        <f>+IF(FI56&lt;&gt;0,FI56,IF(FE56&lt;&gt;0,FE56,IF(FA56&lt;&gt;0,FA56,EW56)))</f>
        <v>0.973536289163651</v>
      </c>
      <c r="GI56" s="69">
        <f>+IF(FY56&lt;&gt;0,FY56,IF(FU56&lt;&gt;0,FU56,IF(FQ56&lt;&gt;0,FQ56,FM56)))</f>
        <v>0.9757786797210484</v>
      </c>
      <c r="GJ56" s="59"/>
      <c r="GK56" s="59"/>
      <c r="GL56" s="59"/>
      <c r="GM56" s="59"/>
      <c r="GN56" s="59"/>
      <c r="GO56" s="59"/>
      <c r="GP56" s="59"/>
      <c r="GQ56" s="59"/>
      <c r="GR56" s="59"/>
      <c r="GS56" s="59"/>
      <c r="GT56" s="59"/>
      <c r="GU56" s="59"/>
      <c r="GV56" s="59"/>
      <c r="GW56" s="59"/>
    </row>
    <row r="57" spans="1:205" s="84" customFormat="1" ht="15" customHeight="1">
      <c r="A57" s="81"/>
      <c r="B57" s="82"/>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59"/>
      <c r="AJ57" s="69"/>
      <c r="AK57" s="83"/>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69"/>
      <c r="GB57" s="69"/>
      <c r="GC57" s="69"/>
      <c r="GD57" s="69"/>
      <c r="GE57" s="69"/>
      <c r="GF57" s="69"/>
      <c r="GG57" s="69"/>
      <c r="GH57" s="69"/>
      <c r="GI57" s="69"/>
      <c r="GJ57" s="59"/>
      <c r="GK57" s="59"/>
      <c r="GL57" s="59"/>
      <c r="GM57" s="59"/>
      <c r="GN57" s="59"/>
      <c r="GO57" s="59"/>
      <c r="GP57" s="59"/>
      <c r="GQ57" s="59"/>
      <c r="GR57" s="59"/>
      <c r="GS57" s="59"/>
      <c r="GT57" s="59"/>
      <c r="GU57" s="59"/>
      <c r="GV57" s="59"/>
      <c r="GW57" s="59"/>
    </row>
    <row r="58" spans="1:205" s="84" customFormat="1" ht="15" customHeight="1">
      <c r="A58" s="81"/>
      <c r="B58" s="82" t="s">
        <v>22</v>
      </c>
      <c r="C58" s="69">
        <f aca="true" t="shared" si="120" ref="C58:R58">+FJ58</f>
        <v>0.695960883384504</v>
      </c>
      <c r="D58" s="69">
        <f t="shared" si="120"/>
        <v>0</v>
      </c>
      <c r="E58" s="69">
        <f t="shared" si="120"/>
        <v>0</v>
      </c>
      <c r="F58" s="69">
        <f t="shared" si="120"/>
        <v>0.695960883384504</v>
      </c>
      <c r="G58" s="69">
        <f t="shared" si="120"/>
        <v>0</v>
      </c>
      <c r="H58" s="69">
        <f t="shared" si="120"/>
        <v>0</v>
      </c>
      <c r="I58" s="69">
        <f t="shared" si="120"/>
        <v>0</v>
      </c>
      <c r="J58" s="69">
        <f t="shared" si="120"/>
        <v>0</v>
      </c>
      <c r="K58" s="69">
        <f t="shared" si="120"/>
        <v>0</v>
      </c>
      <c r="L58" s="69">
        <f t="shared" si="120"/>
        <v>0</v>
      </c>
      <c r="M58" s="69">
        <f t="shared" si="120"/>
        <v>0</v>
      </c>
      <c r="N58" s="69">
        <f t="shared" si="120"/>
        <v>0</v>
      </c>
      <c r="O58" s="69">
        <f t="shared" si="120"/>
        <v>0</v>
      </c>
      <c r="P58" s="69">
        <f t="shared" si="120"/>
        <v>0</v>
      </c>
      <c r="Q58" s="69">
        <f t="shared" si="120"/>
        <v>0</v>
      </c>
      <c r="R58" s="69">
        <f t="shared" si="120"/>
        <v>0</v>
      </c>
      <c r="S58" s="69">
        <f aca="true" t="shared" si="121" ref="S58:AH58">+ET58</f>
        <v>0.6601898504733984</v>
      </c>
      <c r="T58" s="69">
        <f t="shared" si="121"/>
        <v>0.7155375349019059</v>
      </c>
      <c r="U58" s="69">
        <f t="shared" si="121"/>
        <v>0.7311564941502281</v>
      </c>
      <c r="V58" s="69">
        <f t="shared" si="121"/>
        <v>0.7028619781438733</v>
      </c>
      <c r="W58" s="69">
        <f t="shared" si="121"/>
        <v>0.7064585220050381</v>
      </c>
      <c r="X58" s="69">
        <f t="shared" si="121"/>
        <v>0.647357683991122</v>
      </c>
      <c r="Y58" s="69">
        <f t="shared" si="121"/>
        <v>0.7100563618002115</v>
      </c>
      <c r="Z58" s="69">
        <f t="shared" si="121"/>
        <v>0.687031449617389</v>
      </c>
      <c r="AA58" s="69">
        <f t="shared" si="121"/>
        <v>0.717562684902686</v>
      </c>
      <c r="AB58" s="69">
        <f t="shared" si="121"/>
        <v>0.7169343884997308</v>
      </c>
      <c r="AC58" s="69">
        <f t="shared" si="121"/>
        <v>0.6890611426350487</v>
      </c>
      <c r="AD58" s="69">
        <f t="shared" si="121"/>
        <v>0.707528742041794</v>
      </c>
      <c r="AE58" s="69">
        <f t="shared" si="121"/>
        <v>0.7332485244204159</v>
      </c>
      <c r="AF58" s="69">
        <f t="shared" si="121"/>
        <v>0.7652989864701008</v>
      </c>
      <c r="AG58" s="69">
        <f t="shared" si="121"/>
        <v>0.826089576278357</v>
      </c>
      <c r="AH58" s="69">
        <f t="shared" si="121"/>
        <v>0.7736926301683937</v>
      </c>
      <c r="AI58" s="59">
        <f>+C58-S58</f>
        <v>0.035771032911105616</v>
      </c>
      <c r="AJ58" s="69">
        <f>+(AI58/S58)</f>
        <v>0.05418294886759543</v>
      </c>
      <c r="AK58" s="83"/>
      <c r="AL58" s="59">
        <f>+(1-AL50)*AL54</f>
        <v>0.717319498912669</v>
      </c>
      <c r="AM58" s="59">
        <f>+(1-AM50)*AM54</f>
        <v>0.6977058932873659</v>
      </c>
      <c r="AN58" s="59">
        <f>+(1-AN50)*AN54</f>
        <v>0.6896528024213326</v>
      </c>
      <c r="AO58" s="59">
        <f>+(1-AO50)*AO54</f>
        <v>0.7016192499664954</v>
      </c>
      <c r="AP58" s="59">
        <f>+(1-AP50)*AP54</f>
        <v>0.6530713667920236</v>
      </c>
      <c r="AQ58" s="59">
        <f aca="true" t="shared" si="122" ref="AQ58:CN58">+(1-AQ50)*AQ54</f>
        <v>0.7218157823012576</v>
      </c>
      <c r="AR58" s="59">
        <f t="shared" si="122"/>
        <v>0.6220312687855354</v>
      </c>
      <c r="AS58" s="59">
        <f>+(1-AS50)*AS54</f>
        <v>0.6656032053504912</v>
      </c>
      <c r="AT58" s="59">
        <f t="shared" si="122"/>
        <v>0.7239978071096801</v>
      </c>
      <c r="AU58" s="59">
        <f t="shared" si="122"/>
        <v>0.6802473941692782</v>
      </c>
      <c r="AV58" s="59">
        <f t="shared" si="122"/>
        <v>0.731522596577742</v>
      </c>
      <c r="AW58" s="59">
        <f>+(1-AW50)*AW54</f>
        <v>0.711548160961308</v>
      </c>
      <c r="AX58" s="59">
        <f t="shared" si="122"/>
        <v>0.6601363471679869</v>
      </c>
      <c r="AY58" s="59">
        <f t="shared" si="122"/>
        <v>0.611413910016095</v>
      </c>
      <c r="AZ58" s="59">
        <f t="shared" si="122"/>
        <v>0.754099311684128</v>
      </c>
      <c r="BA58" s="59">
        <f>+(1-BA50)*BA54</f>
        <v>0.674416722080554</v>
      </c>
      <c r="BB58" s="59">
        <f t="shared" si="122"/>
        <v>0.6708807516079155</v>
      </c>
      <c r="BC58" s="59">
        <f t="shared" si="122"/>
        <v>0.7856846391689005</v>
      </c>
      <c r="BD58" s="59">
        <f t="shared" si="122"/>
        <v>0.7095675145041137</v>
      </c>
      <c r="BE58" s="59">
        <f>+(1-BE50)*BE54</f>
        <v>0.720028924306183</v>
      </c>
      <c r="BF58" s="59">
        <f t="shared" si="122"/>
        <v>0.6395501703973355</v>
      </c>
      <c r="BG58" s="59">
        <f t="shared" si="122"/>
        <v>0.6525130994907344</v>
      </c>
      <c r="BH58" s="59">
        <f t="shared" si="122"/>
        <v>0.6667669836976596</v>
      </c>
      <c r="BI58" s="59">
        <f>+(1-BI50)*BI54</f>
        <v>0.6533702673754513</v>
      </c>
      <c r="BJ58" s="59">
        <f t="shared" si="122"/>
        <v>0.695994516583721</v>
      </c>
      <c r="BK58" s="59">
        <f t="shared" si="122"/>
        <v>0.6648162265257841</v>
      </c>
      <c r="BL58" s="59">
        <f t="shared" si="122"/>
        <v>0.6795001666888735</v>
      </c>
      <c r="BM58" s="59">
        <f>+(1-BM50)*BM54</f>
        <v>0.6801295099659722</v>
      </c>
      <c r="BN58" s="59">
        <f t="shared" si="122"/>
        <v>0.6564195267252777</v>
      </c>
      <c r="BO58" s="59">
        <f t="shared" si="122"/>
        <v>0.7573859915437153</v>
      </c>
      <c r="BP58" s="59">
        <f t="shared" si="122"/>
        <v>0.7344030575575022</v>
      </c>
      <c r="BQ58" s="59">
        <f>+(1-BQ50)*BQ54</f>
        <v>0.7135059280123226</v>
      </c>
      <c r="BR58" s="59">
        <f t="shared" si="122"/>
        <v>0.6257499534204302</v>
      </c>
      <c r="BS58" s="59">
        <f t="shared" si="122"/>
        <v>0.7179657230642699</v>
      </c>
      <c r="BT58" s="59">
        <f t="shared" si="122"/>
        <v>0.693639309063934</v>
      </c>
      <c r="BU58" s="59">
        <f>+(1-BU50)*BU54</f>
        <v>0.6786256555124932</v>
      </c>
      <c r="BV58" s="59">
        <f t="shared" si="122"/>
        <v>0.6676541352559429</v>
      </c>
      <c r="BW58" s="59">
        <f t="shared" si="122"/>
        <v>0.6282229783256168</v>
      </c>
      <c r="BX58" s="59">
        <f t="shared" si="122"/>
        <v>0.5849610316108858</v>
      </c>
      <c r="BY58" s="59">
        <f>+(1-BY50)*BY54</f>
        <v>0.6254466826247715</v>
      </c>
      <c r="BZ58" s="59">
        <f t="shared" si="122"/>
        <v>0.6810134251672922</v>
      </c>
      <c r="CA58" s="59">
        <f t="shared" si="122"/>
        <v>0.6915923705598195</v>
      </c>
      <c r="CB58" s="59">
        <f t="shared" si="122"/>
        <v>0.6821317965199432</v>
      </c>
      <c r="CC58" s="59">
        <f>+(1-CC50)*CC54</f>
        <v>0.6849599852476871</v>
      </c>
      <c r="CD58" s="59">
        <f t="shared" si="122"/>
        <v>0.7258627229018937</v>
      </c>
      <c r="CE58" s="59">
        <f t="shared" si="122"/>
        <v>0.7448164791817224</v>
      </c>
      <c r="CF58" s="59">
        <f t="shared" si="122"/>
        <v>0.7740543401937274</v>
      </c>
      <c r="CG58" s="59">
        <f>+(1-CG50)*CG54</f>
        <v>0.7474073501857089</v>
      </c>
      <c r="CH58" s="59">
        <f t="shared" si="122"/>
        <v>0.6644991741244853</v>
      </c>
      <c r="CI58" s="59">
        <f t="shared" si="122"/>
        <v>0.7129366088398268</v>
      </c>
      <c r="CJ58" s="59">
        <f t="shared" si="122"/>
        <v>0.7157213888480374</v>
      </c>
      <c r="CK58" s="59">
        <f>+(1-CK50)*CK54</f>
        <v>0.6983094823809058</v>
      </c>
      <c r="CL58" s="59">
        <f t="shared" si="122"/>
        <v>0.7128470879780955</v>
      </c>
      <c r="CM58" s="59">
        <f t="shared" si="122"/>
        <v>0.6721047626484783</v>
      </c>
      <c r="CN58" s="59">
        <f t="shared" si="122"/>
        <v>0.6695128139715111</v>
      </c>
      <c r="CO58" s="59">
        <f>+(1-CO50)*CO54</f>
        <v>0.6838395828161766</v>
      </c>
      <c r="CP58" s="59">
        <f aca="true" t="shared" si="123" ref="CP58:CV58">+(1-CP50)*CP54</f>
        <v>0.6744279130425515</v>
      </c>
      <c r="CQ58" s="59">
        <f t="shared" si="123"/>
        <v>0.6789521427303904</v>
      </c>
      <c r="CR58" s="59">
        <f t="shared" si="123"/>
        <v>0.7291327747231612</v>
      </c>
      <c r="CS58" s="59">
        <f>+(1-CS50)*CS54</f>
        <v>0.6936249378948981</v>
      </c>
      <c r="CT58" s="59">
        <f t="shared" si="123"/>
        <v>0.7181184926413943</v>
      </c>
      <c r="CU58" s="59">
        <f t="shared" si="123"/>
        <v>0.7699080893697596</v>
      </c>
      <c r="CV58" s="59">
        <f t="shared" si="123"/>
        <v>0.7505714196365418</v>
      </c>
      <c r="CW58" s="59">
        <f>+(1-CW50)*CW54</f>
        <v>0.7453823416980846</v>
      </c>
      <c r="CX58" s="59">
        <f aca="true" t="shared" si="124" ref="CX58:DF58">+(1-CX50)*CX54</f>
        <v>0.6508282494162555</v>
      </c>
      <c r="CY58" s="59">
        <f t="shared" si="124"/>
        <v>0.7841211461800051</v>
      </c>
      <c r="CZ58" s="59">
        <f t="shared" si="124"/>
        <v>0.7201183772926569</v>
      </c>
      <c r="DA58" s="59">
        <f>+(1-DA50)*DA54</f>
        <v>0.7157850947152343</v>
      </c>
      <c r="DB58" s="59">
        <f t="shared" si="124"/>
        <v>0.6305704412443425</v>
      </c>
      <c r="DC58" s="59">
        <f t="shared" si="124"/>
        <v>0.7110426155871983</v>
      </c>
      <c r="DD58" s="59">
        <f t="shared" si="124"/>
        <v>0.7205127891098498</v>
      </c>
      <c r="DE58" s="59">
        <f>+(1-DE50)*DE54</f>
        <v>0.6885328836656255</v>
      </c>
      <c r="DF58" s="59">
        <f t="shared" si="124"/>
        <v>0.7272485323559812</v>
      </c>
      <c r="DG58" s="59">
        <f aca="true" t="shared" si="125" ref="DG58:DT58">+(1-DG50)*DG54</f>
        <v>0.7418720962550734</v>
      </c>
      <c r="DH58" s="59">
        <f t="shared" si="125"/>
        <v>0.7658133818112159</v>
      </c>
      <c r="DI58" s="59">
        <f>+(1-DI50)*DI54</f>
        <v>0.7444675604177114</v>
      </c>
      <c r="DJ58" s="59">
        <f t="shared" si="125"/>
        <v>0.8009133441855852</v>
      </c>
      <c r="DK58" s="59">
        <f t="shared" si="125"/>
        <v>0.7504039507215384</v>
      </c>
      <c r="DL58" s="59">
        <f t="shared" si="125"/>
        <v>0.7445928373007787</v>
      </c>
      <c r="DM58" s="59">
        <f>+(1-DM50)*DM54</f>
        <v>0.765979808138927</v>
      </c>
      <c r="DN58" s="59">
        <f t="shared" si="125"/>
        <v>0.7044695571410627</v>
      </c>
      <c r="DO58" s="59">
        <f t="shared" si="125"/>
        <v>0.7455078691692031</v>
      </c>
      <c r="DP58" s="59">
        <f t="shared" si="125"/>
        <v>0.7490142559133199</v>
      </c>
      <c r="DQ58" s="59">
        <f>+(1-DQ50)*DQ54</f>
        <v>0.7327845232275274</v>
      </c>
      <c r="DR58" s="59">
        <f t="shared" si="125"/>
        <v>0.7224937403603034</v>
      </c>
      <c r="DS58" s="59">
        <f t="shared" si="125"/>
        <v>0.7487692309464764</v>
      </c>
      <c r="DT58" s="59">
        <f t="shared" si="125"/>
        <v>0.7414410664291956</v>
      </c>
      <c r="DU58" s="59">
        <f aca="true" t="shared" si="126" ref="DU58:DZ58">+(1-DU50)*DU54</f>
        <v>0.7380716080861253</v>
      </c>
      <c r="DV58" s="59">
        <f t="shared" si="126"/>
        <v>0.7325998783384476</v>
      </c>
      <c r="DW58" s="59">
        <f t="shared" si="126"/>
        <v>0.7383289049946962</v>
      </c>
      <c r="DX58" s="59">
        <f t="shared" si="126"/>
        <v>0.7372615311469074</v>
      </c>
      <c r="DY58" s="59">
        <f t="shared" si="126"/>
        <v>0.7361429929774128</v>
      </c>
      <c r="DZ58" s="59">
        <f t="shared" si="126"/>
        <v>0.7803812495583111</v>
      </c>
      <c r="EA58" s="59">
        <f aca="true" t="shared" si="127" ref="EA58:EG58">+(1-EA50)*EA54</f>
        <v>0.7630618496829182</v>
      </c>
      <c r="EB58" s="59">
        <f t="shared" si="127"/>
        <v>0.7767457859842372</v>
      </c>
      <c r="EC58" s="59">
        <f t="shared" si="127"/>
        <v>0.7736381184107809</v>
      </c>
      <c r="ED58" s="59">
        <f t="shared" si="127"/>
        <v>0.7858122418532828</v>
      </c>
      <c r="EE58" s="59">
        <f t="shared" si="127"/>
        <v>0.7903186137552148</v>
      </c>
      <c r="EF58" s="59">
        <f t="shared" si="127"/>
        <v>0.6829111810390188</v>
      </c>
      <c r="EG58" s="59">
        <f t="shared" si="127"/>
        <v>0.7528488230553515</v>
      </c>
      <c r="EH58" s="59">
        <f aca="true" t="shared" si="128" ref="EH58:EM58">+(1-EH50)*EH54</f>
        <v>0.6184697409977002</v>
      </c>
      <c r="EI58" s="59">
        <f t="shared" si="128"/>
        <v>0.5672512920344219</v>
      </c>
      <c r="EJ58" s="59">
        <f t="shared" si="128"/>
        <v>0.5869531834476134</v>
      </c>
      <c r="EK58" s="59">
        <f t="shared" si="128"/>
        <v>0.5899370864516301</v>
      </c>
      <c r="EL58" s="59">
        <f t="shared" si="128"/>
        <v>0.6362604942938308</v>
      </c>
      <c r="EM58" s="59">
        <f t="shared" si="128"/>
        <v>0.73349406403145</v>
      </c>
      <c r="EN58" s="59">
        <f aca="true" t="shared" si="129" ref="EN58:ES58">+(1-EN50)*EN54</f>
        <v>0.7208683084250221</v>
      </c>
      <c r="EO58" s="59">
        <f t="shared" si="129"/>
        <v>0.6942865764755748</v>
      </c>
      <c r="EP58" s="59">
        <f t="shared" si="129"/>
        <v>0.7745282821670623</v>
      </c>
      <c r="EQ58" s="59">
        <f t="shared" si="129"/>
        <v>0.8000421240533845</v>
      </c>
      <c r="ER58" s="59">
        <f t="shared" si="129"/>
        <v>0.772522924357576</v>
      </c>
      <c r="ES58" s="59">
        <f t="shared" si="129"/>
        <v>0.782236676769331</v>
      </c>
      <c r="ET58" s="59">
        <f aca="true" t="shared" si="130" ref="ET58:EZ58">+(1-ET50)*ET54</f>
        <v>0.6601898504733984</v>
      </c>
      <c r="EU58" s="59">
        <f t="shared" si="130"/>
        <v>0.7155375349019059</v>
      </c>
      <c r="EV58" s="59">
        <f t="shared" si="130"/>
        <v>0.7311564941502281</v>
      </c>
      <c r="EW58" s="59">
        <f t="shared" si="130"/>
        <v>0.7028619781438733</v>
      </c>
      <c r="EX58" s="59">
        <f t="shared" si="130"/>
        <v>0.7064585220050381</v>
      </c>
      <c r="EY58" s="59">
        <f t="shared" si="130"/>
        <v>0.647357683991122</v>
      </c>
      <c r="EZ58" s="59">
        <f t="shared" si="130"/>
        <v>0.7100563618002115</v>
      </c>
      <c r="FA58" s="59">
        <f aca="true" t="shared" si="131" ref="FA58:FH58">+(1-FA50)*FA54</f>
        <v>0.687031449617389</v>
      </c>
      <c r="FB58" s="59">
        <f t="shared" si="131"/>
        <v>0.717562684902686</v>
      </c>
      <c r="FC58" s="59">
        <f t="shared" si="131"/>
        <v>0.7169343884997308</v>
      </c>
      <c r="FD58" s="59">
        <f t="shared" si="131"/>
        <v>0.6890611426350487</v>
      </c>
      <c r="FE58" s="59">
        <f t="shared" si="131"/>
        <v>0.707528742041794</v>
      </c>
      <c r="FF58" s="59">
        <f t="shared" si="131"/>
        <v>0.7332485244204159</v>
      </c>
      <c r="FG58" s="59">
        <f t="shared" si="131"/>
        <v>0.7652989864701008</v>
      </c>
      <c r="FH58" s="59">
        <f t="shared" si="131"/>
        <v>0.826089576278357</v>
      </c>
      <c r="FI58" s="59">
        <f>+(1-FI50)*FI54</f>
        <v>0.7736926301683937</v>
      </c>
      <c r="FJ58" s="59">
        <f>+(1-FJ50)*FJ54</f>
        <v>0.695960883384504</v>
      </c>
      <c r="FK58" s="59"/>
      <c r="FL58" s="59"/>
      <c r="FM58" s="59">
        <f>+(1-FM50)*FM54</f>
        <v>0.695960883384504</v>
      </c>
      <c r="FN58" s="59"/>
      <c r="FO58" s="59"/>
      <c r="FP58" s="59"/>
      <c r="FQ58" s="59">
        <f>+(1-FQ50)*FQ54</f>
        <v>0</v>
      </c>
      <c r="FR58" s="59"/>
      <c r="FS58" s="59"/>
      <c r="FT58" s="59"/>
      <c r="FU58" s="59">
        <f>+(1-FU50)*FU54</f>
        <v>0</v>
      </c>
      <c r="FV58" s="59"/>
      <c r="FW58" s="59"/>
      <c r="FX58" s="59"/>
      <c r="FY58" s="59">
        <f>+(1-FY50)*FY54</f>
        <v>0</v>
      </c>
      <c r="FZ58" s="59"/>
      <c r="GA58" s="69">
        <f aca="true" t="shared" si="132" ref="GA58:GF58">+(1-GA50)*GA54</f>
        <v>0.6878804982149316</v>
      </c>
      <c r="GB58" s="69">
        <f t="shared" si="132"/>
        <v>0.6910222975736752</v>
      </c>
      <c r="GC58" s="69">
        <f t="shared" si="132"/>
        <v>0.6839361434316771</v>
      </c>
      <c r="GD58" s="69">
        <f t="shared" si="132"/>
        <v>0.7054037825709103</v>
      </c>
      <c r="GE58" s="69">
        <f t="shared" si="132"/>
        <v>0.7291863440077277</v>
      </c>
      <c r="GF58" s="69">
        <f t="shared" si="132"/>
        <v>0.7455051169758223</v>
      </c>
      <c r="GG58" s="69">
        <f>+(1-GG50)*GG54</f>
        <v>0.7033765762580043</v>
      </c>
      <c r="GH58" s="69">
        <f>+(1-GH50)*GH54</f>
        <v>0.71861074370125</v>
      </c>
      <c r="GI58" s="69">
        <f>+(1-GI50)*GI54</f>
        <v>0.695960883384504</v>
      </c>
      <c r="GJ58" s="59"/>
      <c r="GK58" s="59"/>
      <c r="GL58" s="59"/>
      <c r="GM58" s="59"/>
      <c r="GN58" s="59"/>
      <c r="GO58" s="59"/>
      <c r="GP58" s="59"/>
      <c r="GQ58" s="59"/>
      <c r="GR58" s="59"/>
      <c r="GS58" s="59"/>
      <c r="GT58" s="59"/>
      <c r="GU58" s="59"/>
      <c r="GV58" s="59"/>
      <c r="GW58" s="59"/>
    </row>
    <row r="59" spans="1:205" s="84" customFormat="1" ht="15" customHeight="1">
      <c r="A59" s="81"/>
      <c r="B59" s="82"/>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59"/>
      <c r="AJ59" s="69"/>
      <c r="AK59" s="83"/>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69"/>
      <c r="GB59" s="69"/>
      <c r="GC59" s="69"/>
      <c r="GD59" s="69"/>
      <c r="GE59" s="69"/>
      <c r="GF59" s="69"/>
      <c r="GG59" s="69"/>
      <c r="GH59" s="69"/>
      <c r="GI59" s="69"/>
      <c r="GJ59" s="59"/>
      <c r="GK59" s="59"/>
      <c r="GL59" s="59"/>
      <c r="GM59" s="59"/>
      <c r="GN59" s="59"/>
      <c r="GO59" s="59"/>
      <c r="GP59" s="59"/>
      <c r="GQ59" s="59"/>
      <c r="GR59" s="59"/>
      <c r="GS59" s="59"/>
      <c r="GT59" s="59"/>
      <c r="GU59" s="59"/>
      <c r="GV59" s="59"/>
      <c r="GW59" s="59"/>
    </row>
    <row r="60" spans="1:205" s="84" customFormat="1" ht="15" customHeight="1">
      <c r="A60" s="81"/>
      <c r="B60" s="82" t="s">
        <v>43</v>
      </c>
      <c r="C60" s="69">
        <f aca="true" t="shared" si="133" ref="C60:R60">+FJ60</f>
        <v>0.7207978843708772</v>
      </c>
      <c r="D60" s="69">
        <f t="shared" si="133"/>
        <v>0</v>
      </c>
      <c r="E60" s="69">
        <f t="shared" si="133"/>
        <v>0</v>
      </c>
      <c r="F60" s="69">
        <f t="shared" si="133"/>
        <v>0.7207978843708772</v>
      </c>
      <c r="G60" s="69">
        <f t="shared" si="133"/>
        <v>0</v>
      </c>
      <c r="H60" s="69">
        <f t="shared" si="133"/>
        <v>0</v>
      </c>
      <c r="I60" s="69">
        <f t="shared" si="133"/>
        <v>0</v>
      </c>
      <c r="J60" s="69">
        <f t="shared" si="133"/>
        <v>0</v>
      </c>
      <c r="K60" s="69">
        <f t="shared" si="133"/>
        <v>0</v>
      </c>
      <c r="L60" s="69">
        <f t="shared" si="133"/>
        <v>0</v>
      </c>
      <c r="M60" s="69">
        <f t="shared" si="133"/>
        <v>0</v>
      </c>
      <c r="N60" s="69">
        <f t="shared" si="133"/>
        <v>0</v>
      </c>
      <c r="O60" s="69">
        <f t="shared" si="133"/>
        <v>0</v>
      </c>
      <c r="P60" s="69">
        <f t="shared" si="133"/>
        <v>0</v>
      </c>
      <c r="Q60" s="69">
        <f t="shared" si="133"/>
        <v>0</v>
      </c>
      <c r="R60" s="69">
        <f t="shared" si="133"/>
        <v>0</v>
      </c>
      <c r="S60" s="69">
        <f aca="true" t="shared" si="134" ref="S60:AH60">+ET60</f>
        <v>0.6935865427075435</v>
      </c>
      <c r="T60" s="69">
        <f t="shared" si="134"/>
        <v>0.6880539221637236</v>
      </c>
      <c r="U60" s="69">
        <f t="shared" si="134"/>
        <v>0.6917060521754896</v>
      </c>
      <c r="V60" s="69">
        <f t="shared" si="134"/>
        <v>0.6917060521754896</v>
      </c>
      <c r="W60" s="69">
        <f t="shared" si="134"/>
        <v>0.6982136888199109</v>
      </c>
      <c r="X60" s="69">
        <f t="shared" si="134"/>
        <v>0.7046150113421136</v>
      </c>
      <c r="Y60" s="69">
        <f t="shared" si="134"/>
        <v>0.7156650555499787</v>
      </c>
      <c r="Z60" s="69">
        <f t="shared" si="134"/>
        <v>0.7156650555499787</v>
      </c>
      <c r="AA60" s="69">
        <f t="shared" si="134"/>
        <v>0.7238373969719145</v>
      </c>
      <c r="AB60" s="69">
        <f t="shared" si="134"/>
        <v>0.7223518581968552</v>
      </c>
      <c r="AC60" s="69">
        <f t="shared" si="134"/>
        <v>0.7193514855202323</v>
      </c>
      <c r="AD60" s="69">
        <f t="shared" si="134"/>
        <v>0.7193514855202323</v>
      </c>
      <c r="AE60" s="69">
        <f t="shared" si="134"/>
        <v>0.7155744690994003</v>
      </c>
      <c r="AF60" s="69">
        <f t="shared" si="134"/>
        <v>0.7135671805937658</v>
      </c>
      <c r="AG60" s="69">
        <f t="shared" si="134"/>
        <v>0.7186107549528238</v>
      </c>
      <c r="AH60" s="69">
        <f t="shared" si="134"/>
        <v>0.7186107549528238</v>
      </c>
      <c r="AI60" s="59">
        <f>+C60-S60</f>
        <v>0.02721134166333372</v>
      </c>
      <c r="AJ60" s="69">
        <f>+(AI60/S60)</f>
        <v>0.039232799352059526</v>
      </c>
      <c r="AK60" s="83"/>
      <c r="AL60" s="59">
        <v>0.6837324917764956</v>
      </c>
      <c r="AM60" s="59">
        <v>0.683552514128041</v>
      </c>
      <c r="AN60" s="59">
        <v>0.6843586208610742</v>
      </c>
      <c r="AO60" s="59">
        <v>0.6843586208610742</v>
      </c>
      <c r="AP60" s="59">
        <v>0.6886033086874838</v>
      </c>
      <c r="AQ60" s="59">
        <v>0.6853052242777499</v>
      </c>
      <c r="AR60" s="59">
        <v>0.6823964901600384</v>
      </c>
      <c r="AS60" s="59">
        <v>0.6823964901600384</v>
      </c>
      <c r="AT60" s="59">
        <v>0.6855955332162817</v>
      </c>
      <c r="AU60" s="59">
        <v>0.6871657495039842</v>
      </c>
      <c r="AV60" s="59">
        <v>0.6922250993278659</v>
      </c>
      <c r="AW60" s="59">
        <v>0.6922250993278659</v>
      </c>
      <c r="AX60" s="59">
        <v>0.6900242628651314</v>
      </c>
      <c r="AY60" s="59">
        <v>0.6854958100887495</v>
      </c>
      <c r="AZ60" s="59">
        <v>0.6878804982149317</v>
      </c>
      <c r="BA60" s="59">
        <v>0.6878804982149317</v>
      </c>
      <c r="BB60" s="59">
        <v>0.6842548278728755</v>
      </c>
      <c r="BC60" s="59">
        <v>0.690748687331098</v>
      </c>
      <c r="BD60" s="59">
        <v>0.6923297447930177</v>
      </c>
      <c r="BE60" s="59">
        <v>0.6923297447930177</v>
      </c>
      <c r="BF60" s="59">
        <v>0.6913022043779588</v>
      </c>
      <c r="BG60" s="59">
        <v>0.6853979104150282</v>
      </c>
      <c r="BH60" s="59">
        <v>0.6892123609613249</v>
      </c>
      <c r="BI60" s="59">
        <v>0.6892123609613249</v>
      </c>
      <c r="BJ60" s="59">
        <v>0.6866965326674054</v>
      </c>
      <c r="BK60" s="59">
        <v>0.6853164926343246</v>
      </c>
      <c r="BL60" s="59">
        <v>0.6810023814617036</v>
      </c>
      <c r="BM60" s="59">
        <v>0.6810023814617036</v>
      </c>
      <c r="BN60" s="59">
        <v>0.6805469796006856</v>
      </c>
      <c r="BO60" s="59">
        <v>0.6925569433326157</v>
      </c>
      <c r="BP60" s="59">
        <v>0.6910222975736755</v>
      </c>
      <c r="BQ60" s="59">
        <v>0.6910222975736755</v>
      </c>
      <c r="BR60" s="59">
        <v>0.687411498860172</v>
      </c>
      <c r="BS60" s="59">
        <v>0.6828412814548092</v>
      </c>
      <c r="BT60" s="59">
        <v>0.6815289011848007</v>
      </c>
      <c r="BU60" s="59">
        <v>0.6815289011848007</v>
      </c>
      <c r="BV60" s="59">
        <v>0.6836907425119771</v>
      </c>
      <c r="BW60" s="59">
        <v>0.6812220367892644</v>
      </c>
      <c r="BX60" s="59">
        <v>0.6738441618937397</v>
      </c>
      <c r="BY60" s="59">
        <v>0.6738441618937397</v>
      </c>
      <c r="BZ60" s="59">
        <v>0.672531285449591</v>
      </c>
      <c r="CA60" s="59">
        <v>0.6749861048195782</v>
      </c>
      <c r="CB60" s="59">
        <v>0.6752693019823516</v>
      </c>
      <c r="CC60" s="59">
        <v>0.6752693019823516</v>
      </c>
      <c r="CD60" s="59">
        <v>0.6812539894014555</v>
      </c>
      <c r="CE60" s="59">
        <v>0.6806069623321301</v>
      </c>
      <c r="CF60" s="59">
        <v>0.6839361434316765</v>
      </c>
      <c r="CG60" s="59">
        <v>0.6839361434316765</v>
      </c>
      <c r="CH60" s="59">
        <v>0.6868445497222891</v>
      </c>
      <c r="CI60" s="59">
        <v>0.6863687836496593</v>
      </c>
      <c r="CJ60" s="59">
        <v>0.6883318268981455</v>
      </c>
      <c r="CK60" s="59">
        <v>0.6883318268981455</v>
      </c>
      <c r="CL60" s="59">
        <v>0.6918501270797881</v>
      </c>
      <c r="CM60" s="59">
        <v>0.6958239208028743</v>
      </c>
      <c r="CN60" s="59">
        <v>0.703096972240028</v>
      </c>
      <c r="CO60" s="59">
        <v>0.703096972240028</v>
      </c>
      <c r="CP60" s="59">
        <v>0.702418288459376</v>
      </c>
      <c r="CQ60" s="59">
        <v>0.7011455264077092</v>
      </c>
      <c r="CR60" s="59">
        <v>0.7052876848369639</v>
      </c>
      <c r="CS60" s="59">
        <v>0.7052876848369639</v>
      </c>
      <c r="CT60" s="59">
        <v>0.7048292529836584</v>
      </c>
      <c r="CU60" s="59">
        <v>0.706948460609178</v>
      </c>
      <c r="CV60" s="59">
        <v>0.7054037825709082</v>
      </c>
      <c r="CW60" s="59">
        <v>0.7054037825709082</v>
      </c>
      <c r="CX60" s="59">
        <v>0.70409150568194</v>
      </c>
      <c r="CY60" s="59">
        <v>0.7083278864800915</v>
      </c>
      <c r="CZ60" s="59">
        <v>0.708786036854024</v>
      </c>
      <c r="DA60" s="59">
        <v>0.708786036854024</v>
      </c>
      <c r="DB60" s="59">
        <v>0.7019784980754554</v>
      </c>
      <c r="DC60" s="59">
        <v>0.7053068446419513</v>
      </c>
      <c r="DD60" s="59">
        <v>0.7096375875948906</v>
      </c>
      <c r="DE60" s="59">
        <v>0.7096375875948906</v>
      </c>
      <c r="DF60" s="59">
        <v>0.714396896172487</v>
      </c>
      <c r="DG60" s="59">
        <v>0.7203238590269788</v>
      </c>
      <c r="DH60" s="59">
        <v>0.7234426649965431</v>
      </c>
      <c r="DI60" s="59">
        <v>0.7234426649965431</v>
      </c>
      <c r="DJ60" s="59">
        <v>0.7307317991626122</v>
      </c>
      <c r="DK60" s="59">
        <v>0.7292928290061689</v>
      </c>
      <c r="DL60" s="59">
        <v>0.7289010841946656</v>
      </c>
      <c r="DM60" s="59">
        <v>0.7289010841946656</v>
      </c>
      <c r="DN60" s="59">
        <v>0.7329964175230721</v>
      </c>
      <c r="DO60" s="59">
        <v>0.7305735979684206</v>
      </c>
      <c r="DP60" s="59">
        <v>0.7330127607409681</v>
      </c>
      <c r="DQ60" s="59">
        <v>0.7330127607409681</v>
      </c>
      <c r="DR60" s="59">
        <v>0.7405218988483571</v>
      </c>
      <c r="DS60" s="59">
        <v>0.7436578906147019</v>
      </c>
      <c r="DT60" s="59">
        <v>0.7455120222185728</v>
      </c>
      <c r="DU60" s="59">
        <v>0.7455120222185728</v>
      </c>
      <c r="DV60" s="59">
        <v>0.7458525103062744</v>
      </c>
      <c r="DW60" s="59">
        <v>0.7454520817642865</v>
      </c>
      <c r="DX60" s="59">
        <v>0.7431324730073661</v>
      </c>
      <c r="DY60" s="59">
        <v>0.7431324730073661</v>
      </c>
      <c r="DZ60" s="59">
        <v>0.7416830221708426</v>
      </c>
      <c r="EA60" s="59">
        <v>0.7428296670719609</v>
      </c>
      <c r="EB60" s="59">
        <v>0.7454559808713469</v>
      </c>
      <c r="EC60" s="59">
        <v>0.7454559808713469</v>
      </c>
      <c r="ED60" s="59">
        <v>0.7517419286043574</v>
      </c>
      <c r="EE60" s="59">
        <v>0.7551128898369063</v>
      </c>
      <c r="EF60" s="59">
        <v>0.750031336506899</v>
      </c>
      <c r="EG60" s="59">
        <v>0.750031336506899</v>
      </c>
      <c r="EH60" s="59">
        <v>0.742064631169065</v>
      </c>
      <c r="EI60" s="59">
        <v>0.7265068059312982</v>
      </c>
      <c r="EJ60" s="59">
        <v>0.7125099916880452</v>
      </c>
      <c r="EK60" s="59">
        <v>0.750031336506899</v>
      </c>
      <c r="EL60" s="59">
        <v>0.7031060640217959</v>
      </c>
      <c r="EM60" s="59">
        <v>0.7027424150077896</v>
      </c>
      <c r="EN60" s="59">
        <v>0.7013540193801278</v>
      </c>
      <c r="EO60" s="59">
        <v>0.750031336506899</v>
      </c>
      <c r="EP60" s="59">
        <v>0.7012047486701685</v>
      </c>
      <c r="EQ60" s="59">
        <v>0.7038170986109712</v>
      </c>
      <c r="ER60" s="59">
        <v>0.7032889380657462</v>
      </c>
      <c r="ES60" s="59">
        <v>0.7032889380657462</v>
      </c>
      <c r="ET60" s="59">
        <v>0.6935865427075435</v>
      </c>
      <c r="EU60" s="59">
        <v>0.6880539221637236</v>
      </c>
      <c r="EV60" s="59">
        <v>0.6917060521754896</v>
      </c>
      <c r="EW60" s="59">
        <f>+IF(EV60&lt;&gt;"",EV60,IF(EU60&lt;&gt;"",EU60,ET60))</f>
        <v>0.6917060521754896</v>
      </c>
      <c r="EX60" s="59">
        <v>0.6982136888199109</v>
      </c>
      <c r="EY60" s="59">
        <v>0.7046150113421136</v>
      </c>
      <c r="EZ60" s="59">
        <v>0.7156650555499787</v>
      </c>
      <c r="FA60" s="59">
        <f>+IF(EZ60&lt;&gt;"",EZ60,IF(EY60&lt;&gt;"",EY60,EX60))</f>
        <v>0.7156650555499787</v>
      </c>
      <c r="FB60" s="59">
        <v>0.7238373969719145</v>
      </c>
      <c r="FC60" s="59">
        <v>0.7223518581968552</v>
      </c>
      <c r="FD60" s="59">
        <v>0.7193514855202323</v>
      </c>
      <c r="FE60" s="59">
        <f>+IF(FD60&lt;&gt;"",FD60,IF(FC60&lt;&gt;"",FC60,FB60))</f>
        <v>0.7193514855202323</v>
      </c>
      <c r="FF60" s="59">
        <v>0.7155744690994003</v>
      </c>
      <c r="FG60" s="59">
        <v>0.7135671805937658</v>
      </c>
      <c r="FH60" s="59">
        <v>0.7186107549528238</v>
      </c>
      <c r="FI60" s="59">
        <f>+IF(FH60&lt;&gt;"",FH60,IF(FG60&lt;&gt;"",FG60,FF60))</f>
        <v>0.7186107549528238</v>
      </c>
      <c r="FJ60" s="59">
        <v>0.7207978843708772</v>
      </c>
      <c r="FK60" s="59"/>
      <c r="FL60" s="59"/>
      <c r="FM60" s="59">
        <f>+IF(FL60&lt;&gt;"",FL60,IF(FK60&lt;&gt;"",FK60,FJ60))</f>
        <v>0.7207978843708772</v>
      </c>
      <c r="FN60" s="59"/>
      <c r="FO60" s="59"/>
      <c r="FP60" s="59"/>
      <c r="FQ60" s="59">
        <f>+IF(FP60&lt;&gt;"",FP60,IF(FO60&lt;&gt;"",FO60,FN60))</f>
        <v>0</v>
      </c>
      <c r="FR60" s="59"/>
      <c r="FS60" s="59"/>
      <c r="FT60" s="59"/>
      <c r="FU60" s="59">
        <f>+IF(FT60&lt;&gt;"",FT60,IF(FS60&lt;&gt;"",FS60,FR60))</f>
        <v>0</v>
      </c>
      <c r="FV60" s="59"/>
      <c r="FW60" s="59"/>
      <c r="FX60" s="59"/>
      <c r="FY60" s="59">
        <f>+IF(FX60&lt;&gt;"",FX60,IF(FW60&lt;&gt;"",FW60,FV60))</f>
        <v>0</v>
      </c>
      <c r="FZ60" s="59"/>
      <c r="GA60" s="69">
        <f>+AZ60</f>
        <v>0.6878804982149317</v>
      </c>
      <c r="GB60" s="69">
        <f>+BP60</f>
        <v>0.6910222975736755</v>
      </c>
      <c r="GC60" s="69">
        <f>+CF60</f>
        <v>0.6839361434316765</v>
      </c>
      <c r="GD60" s="69">
        <f>+CV60</f>
        <v>0.7054037825709082</v>
      </c>
      <c r="GE60" s="69">
        <f>+DL60</f>
        <v>0.7289010841946656</v>
      </c>
      <c r="GF60" s="69">
        <f>+EC60</f>
        <v>0.7454559808713469</v>
      </c>
      <c r="GG60" s="69">
        <f>+ES60</f>
        <v>0.7032889380657462</v>
      </c>
      <c r="GH60" s="69">
        <f>+IF(FI60&lt;&gt;0,FI60,IF(FE60&lt;&gt;0,FE60,IF(FA60&lt;&gt;0,FA60,EW60)))</f>
        <v>0.7186107549528238</v>
      </c>
      <c r="GI60" s="69">
        <f>+IF(FY60&lt;&gt;0,FY60,IF(FU60&lt;&gt;0,FU60,IF(FQ60&lt;&gt;0,FQ60,FM60)))</f>
        <v>0.7207978843708772</v>
      </c>
      <c r="GJ60" s="59"/>
      <c r="GK60" s="59"/>
      <c r="GL60" s="59"/>
      <c r="GM60" s="59"/>
      <c r="GN60" s="59"/>
      <c r="GO60" s="59"/>
      <c r="GP60" s="59"/>
      <c r="GQ60" s="59"/>
      <c r="GR60" s="59"/>
      <c r="GS60" s="59"/>
      <c r="GT60" s="59"/>
      <c r="GU60" s="59"/>
      <c r="GV60" s="59"/>
      <c r="GW60" s="59"/>
    </row>
    <row r="61" spans="1:205" s="84" customFormat="1" ht="15" customHeight="1">
      <c r="A61" s="81"/>
      <c r="B61" s="82"/>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59"/>
      <c r="AJ61" s="69"/>
      <c r="AK61" s="83"/>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69"/>
      <c r="GB61" s="69"/>
      <c r="GC61" s="69"/>
      <c r="GD61" s="69"/>
      <c r="GE61" s="69"/>
      <c r="GF61" s="69"/>
      <c r="GG61" s="69"/>
      <c r="GH61" s="69"/>
      <c r="GI61" s="69"/>
      <c r="GJ61" s="59"/>
      <c r="GK61" s="59"/>
      <c r="GL61" s="59"/>
      <c r="GM61" s="59"/>
      <c r="GN61" s="59"/>
      <c r="GO61" s="59"/>
      <c r="GP61" s="59"/>
      <c r="GQ61" s="59"/>
      <c r="GR61" s="59"/>
      <c r="GS61" s="59"/>
      <c r="GT61" s="59"/>
      <c r="GU61" s="59"/>
      <c r="GV61" s="59"/>
      <c r="GW61" s="59"/>
    </row>
    <row r="62" spans="1:205" s="84" customFormat="1" ht="15" customHeight="1">
      <c r="A62" s="81"/>
      <c r="B62" s="82" t="s">
        <v>23</v>
      </c>
      <c r="C62" s="69">
        <f aca="true" t="shared" si="135" ref="C62:R62">+FJ62</f>
        <v>0.7249222694017925</v>
      </c>
      <c r="D62" s="69">
        <f t="shared" si="135"/>
        <v>0</v>
      </c>
      <c r="E62" s="69">
        <f t="shared" si="135"/>
        <v>0</v>
      </c>
      <c r="F62" s="69">
        <f t="shared" si="135"/>
        <v>0.7249222694017925</v>
      </c>
      <c r="G62" s="69">
        <f t="shared" si="135"/>
        <v>0</v>
      </c>
      <c r="H62" s="69">
        <f t="shared" si="135"/>
        <v>0</v>
      </c>
      <c r="I62" s="69">
        <f t="shared" si="135"/>
        <v>0</v>
      </c>
      <c r="J62" s="69">
        <f t="shared" si="135"/>
        <v>0</v>
      </c>
      <c r="K62" s="69">
        <f t="shared" si="135"/>
        <v>0</v>
      </c>
      <c r="L62" s="69">
        <f t="shared" si="135"/>
        <v>0</v>
      </c>
      <c r="M62" s="69">
        <f t="shared" si="135"/>
        <v>0</v>
      </c>
      <c r="N62" s="69">
        <f t="shared" si="135"/>
        <v>0</v>
      </c>
      <c r="O62" s="69">
        <f t="shared" si="135"/>
        <v>0</v>
      </c>
      <c r="P62" s="69">
        <f t="shared" si="135"/>
        <v>0</v>
      </c>
      <c r="Q62" s="69">
        <f t="shared" si="135"/>
        <v>0</v>
      </c>
      <c r="R62" s="69">
        <f t="shared" si="135"/>
        <v>0</v>
      </c>
      <c r="S62" s="69">
        <f aca="true" t="shared" si="136" ref="S62:AH62">+ET62</f>
        <v>0.6773300067655037</v>
      </c>
      <c r="T62" s="69">
        <f t="shared" si="136"/>
        <v>0.7321425165230071</v>
      </c>
      <c r="U62" s="69">
        <f t="shared" si="136"/>
        <v>0.7360823867603592</v>
      </c>
      <c r="V62" s="69">
        <f t="shared" si="136"/>
        <v>0.7154411729022576</v>
      </c>
      <c r="W62" s="69">
        <f t="shared" si="136"/>
        <v>0.705264470917321</v>
      </c>
      <c r="X62" s="69">
        <f t="shared" si="136"/>
        <v>0.6575593844922845</v>
      </c>
      <c r="Y62" s="69">
        <f t="shared" si="136"/>
        <v>0.7060794066966669</v>
      </c>
      <c r="Z62" s="69">
        <f t="shared" si="136"/>
        <v>0.6888911516123063</v>
      </c>
      <c r="AA62" s="69">
        <f t="shared" si="136"/>
        <v>0.7191414351040444</v>
      </c>
      <c r="AB62" s="69">
        <f t="shared" si="136"/>
        <v>0.7261966711474178</v>
      </c>
      <c r="AC62" s="69">
        <f t="shared" si="136"/>
        <v>0.6932162303685998</v>
      </c>
      <c r="AD62" s="69">
        <f t="shared" si="136"/>
        <v>0.7126476079957021</v>
      </c>
      <c r="AE62" s="69">
        <f t="shared" si="136"/>
        <v>0.7344911809310604</v>
      </c>
      <c r="AF62" s="69">
        <f t="shared" si="136"/>
        <v>0.7658760111795945</v>
      </c>
      <c r="AG62" s="69">
        <f t="shared" si="136"/>
        <v>0.8262129638965253</v>
      </c>
      <c r="AH62" s="69">
        <f t="shared" si="136"/>
        <v>0.7741515359441152</v>
      </c>
      <c r="AI62" s="59">
        <f>+C62-S62</f>
        <v>0.047592262636288796</v>
      </c>
      <c r="AJ62" s="69">
        <f>+(AI62/S62)</f>
        <v>0.07026451236607559</v>
      </c>
      <c r="AK62" s="83"/>
      <c r="AL62" s="59">
        <f>+AL36/AL8</f>
        <v>0.7182125136660303</v>
      </c>
      <c r="AM62" s="59">
        <f>+AM36/AM8</f>
        <v>0.6783480993328806</v>
      </c>
      <c r="AN62" s="59">
        <f>+AN36/AN8</f>
        <v>0.7715060426342628</v>
      </c>
      <c r="AO62" s="59">
        <f>+AO36/AO8</f>
        <v>0.7247480086823902</v>
      </c>
      <c r="AP62" s="59">
        <f>+AP36/AP8</f>
        <v>0.7036205241609387</v>
      </c>
      <c r="AQ62" s="59">
        <f aca="true" t="shared" si="137" ref="AQ62:CN62">+AQ36/AQ8</f>
        <v>0.726803332231925</v>
      </c>
      <c r="AR62" s="59">
        <f t="shared" si="137"/>
        <v>0.6211273429728389</v>
      </c>
      <c r="AS62" s="59">
        <f>+AS36/AS8</f>
        <v>0.6833052779711548</v>
      </c>
      <c r="AT62" s="59">
        <f t="shared" si="137"/>
        <v>0.7312007816608656</v>
      </c>
      <c r="AU62" s="59">
        <f t="shared" si="137"/>
        <v>0.6745385916652058</v>
      </c>
      <c r="AV62" s="59">
        <f t="shared" si="137"/>
        <v>0.7264702679639967</v>
      </c>
      <c r="AW62" s="59">
        <f>+AW36/AW8</f>
        <v>0.7107351179425623</v>
      </c>
      <c r="AX62" s="59">
        <f t="shared" si="137"/>
        <v>0.6762607144442905</v>
      </c>
      <c r="AY62" s="59">
        <f t="shared" si="137"/>
        <v>0.6087491359433744</v>
      </c>
      <c r="AZ62" s="59">
        <f t="shared" si="137"/>
        <v>0.763231314306393</v>
      </c>
      <c r="BA62" s="59">
        <f>+BA36/BA8</f>
        <v>0.682445322761533</v>
      </c>
      <c r="BB62" s="59">
        <f t="shared" si="137"/>
        <v>0.6689372347541855</v>
      </c>
      <c r="BC62" s="59">
        <f t="shared" si="137"/>
        <v>0.7727905117905994</v>
      </c>
      <c r="BD62" s="59">
        <f t="shared" si="137"/>
        <v>0.712441283732833</v>
      </c>
      <c r="BE62" s="59">
        <f>+BE36/BE8</f>
        <v>0.7165920254457553</v>
      </c>
      <c r="BF62" s="59">
        <f t="shared" si="137"/>
        <v>0.6306647230967337</v>
      </c>
      <c r="BG62" s="59">
        <f t="shared" si="137"/>
        <v>0.6680350587899944</v>
      </c>
      <c r="BH62" s="59">
        <f t="shared" si="137"/>
        <v>0.6607228677099647</v>
      </c>
      <c r="BI62" s="59">
        <f>+BI36/BI8</f>
        <v>0.6536251416510559</v>
      </c>
      <c r="BJ62" s="59">
        <f t="shared" si="137"/>
        <v>0.7001754976011944</v>
      </c>
      <c r="BK62" s="59">
        <f t="shared" si="137"/>
        <v>0.6692942220210688</v>
      </c>
      <c r="BL62" s="59">
        <f t="shared" si="137"/>
        <v>0.6771504827682542</v>
      </c>
      <c r="BM62" s="59">
        <f>+BM36/BM8</f>
        <v>0.6822594190977266</v>
      </c>
      <c r="BN62" s="59">
        <f t="shared" si="137"/>
        <v>0.6617629147063979</v>
      </c>
      <c r="BO62" s="59">
        <f t="shared" si="137"/>
        <v>0.7524222108839866</v>
      </c>
      <c r="BP62" s="59">
        <f t="shared" si="137"/>
        <v>0.7334330889508528</v>
      </c>
      <c r="BQ62" s="59">
        <f>+BQ36/BQ8</f>
        <v>0.7137211497936281</v>
      </c>
      <c r="BR62" s="59">
        <f t="shared" si="137"/>
        <v>0.6312070441040507</v>
      </c>
      <c r="BS62" s="59">
        <f t="shared" si="137"/>
        <v>0.7210987796664334</v>
      </c>
      <c r="BT62" s="59">
        <f t="shared" si="137"/>
        <v>0.6949988619713049</v>
      </c>
      <c r="BU62" s="59">
        <f>+BU36/BU8</f>
        <v>0.6822805015028502</v>
      </c>
      <c r="BV62" s="59">
        <f t="shared" si="137"/>
        <v>0.6734731501200965</v>
      </c>
      <c r="BW62" s="59">
        <f t="shared" si="137"/>
        <v>0.6262927222360778</v>
      </c>
      <c r="BX62" s="59">
        <f t="shared" si="137"/>
        <v>0.5972179356557699</v>
      </c>
      <c r="BY62" s="59">
        <f>+BY36/BY8</f>
        <v>0.6312724183190501</v>
      </c>
      <c r="BZ62" s="59">
        <f t="shared" si="137"/>
        <v>0.6809033309129399</v>
      </c>
      <c r="CA62" s="59">
        <f t="shared" si="137"/>
        <v>0.6991731298394841</v>
      </c>
      <c r="CB62" s="59">
        <f t="shared" si="137"/>
        <v>0.6713103025771002</v>
      </c>
      <c r="CC62" s="59">
        <f>+CC36/CC8</f>
        <v>0.683789541624411</v>
      </c>
      <c r="CD62" s="59">
        <f t="shared" si="137"/>
        <v>0.6921398900435279</v>
      </c>
      <c r="CE62" s="59">
        <f t="shared" si="137"/>
        <v>0.7344281865111606</v>
      </c>
      <c r="CF62" s="59">
        <f t="shared" si="137"/>
        <v>0.7548906006864224</v>
      </c>
      <c r="CG62" s="59">
        <f>+CG36/CG8</f>
        <v>0.7263646826490929</v>
      </c>
      <c r="CH62" s="59">
        <f t="shared" si="137"/>
        <v>0.6774000131788988</v>
      </c>
      <c r="CI62" s="59">
        <f t="shared" si="137"/>
        <v>0.7309393132840425</v>
      </c>
      <c r="CJ62" s="59">
        <f t="shared" si="137"/>
        <v>0.7350351703315057</v>
      </c>
      <c r="CK62" s="59">
        <f>+CK36/CK8</f>
        <v>0.7146531795453757</v>
      </c>
      <c r="CL62" s="59">
        <f t="shared" si="137"/>
        <v>0.710365179082207</v>
      </c>
      <c r="CM62" s="59">
        <f t="shared" si="137"/>
        <v>0.6774998097109439</v>
      </c>
      <c r="CN62" s="59">
        <f t="shared" si="137"/>
        <v>0.671948584574691</v>
      </c>
      <c r="CO62" s="59">
        <f>+CO36/CO8</f>
        <v>0.6857293929251064</v>
      </c>
      <c r="CP62" s="59">
        <f aca="true" t="shared" si="138" ref="CP62:CV62">+CP36/CP8</f>
        <v>0.6737334686765509</v>
      </c>
      <c r="CQ62" s="59">
        <f t="shared" si="138"/>
        <v>0.682846736152772</v>
      </c>
      <c r="CR62" s="59">
        <f t="shared" si="138"/>
        <v>0.720727179872295</v>
      </c>
      <c r="CS62" s="59">
        <f>+CS36/CS8</f>
        <v>0.6920364062057256</v>
      </c>
      <c r="CT62" s="59">
        <f t="shared" si="138"/>
        <v>0.7089162845066587</v>
      </c>
      <c r="CU62" s="59">
        <f t="shared" si="138"/>
        <v>0.7669520302283681</v>
      </c>
      <c r="CV62" s="59">
        <f t="shared" si="138"/>
        <v>0.7494330854570175</v>
      </c>
      <c r="CW62" s="59">
        <f>+CW36/CW8</f>
        <v>0.7407306928775098</v>
      </c>
      <c r="CX62" s="59">
        <f aca="true" t="shared" si="139" ref="CX62:DF62">+CX36/CX8</f>
        <v>0.6534509349203464</v>
      </c>
      <c r="CY62" s="59">
        <f t="shared" si="139"/>
        <v>0.7673083184076084</v>
      </c>
      <c r="CZ62" s="59">
        <f t="shared" si="139"/>
        <v>0.7412765888823643</v>
      </c>
      <c r="DA62" s="59">
        <f>+DA36/DA8</f>
        <v>0.7189432889583751</v>
      </c>
      <c r="DB62" s="59">
        <f t="shared" si="139"/>
        <v>0.6423583717808422</v>
      </c>
      <c r="DC62" s="59">
        <f t="shared" si="139"/>
        <v>0.7112497971894953</v>
      </c>
      <c r="DD62" s="59">
        <f t="shared" si="139"/>
        <v>0.7269769538929388</v>
      </c>
      <c r="DE62" s="59">
        <f>+DE36/DE8</f>
        <v>0.6944096497730697</v>
      </c>
      <c r="DF62" s="59">
        <f t="shared" si="139"/>
        <v>0.73043283751565</v>
      </c>
      <c r="DG62" s="59">
        <f aca="true" t="shared" si="140" ref="DG62:DP62">+DG36/DG8</f>
        <v>0.7431823930847936</v>
      </c>
      <c r="DH62" s="59">
        <f t="shared" si="140"/>
        <v>0.7585836961374081</v>
      </c>
      <c r="DI62" s="59">
        <f>+DI36/DI8</f>
        <v>0.743689944116639</v>
      </c>
      <c r="DJ62" s="59">
        <f t="shared" si="140"/>
        <v>0.8050873981608587</v>
      </c>
      <c r="DK62" s="59">
        <f t="shared" si="140"/>
        <v>0.7479899525809887</v>
      </c>
      <c r="DL62" s="59">
        <f t="shared" si="140"/>
        <v>0.7490391687807604</v>
      </c>
      <c r="DM62" s="59">
        <f>+DM36/DM8</f>
        <v>0.7679146131397873</v>
      </c>
      <c r="DN62" s="59">
        <f t="shared" si="140"/>
        <v>0.718628216650104</v>
      </c>
      <c r="DO62" s="59">
        <f t="shared" si="140"/>
        <v>0.7394633584252787</v>
      </c>
      <c r="DP62" s="59">
        <f t="shared" si="140"/>
        <v>0.7477045922801007</v>
      </c>
      <c r="DQ62" s="59">
        <f aca="true" t="shared" si="141" ref="DQ62:DV62">+DQ36/DQ8</f>
        <v>0.7354374343821918</v>
      </c>
      <c r="DR62" s="59">
        <f t="shared" si="141"/>
        <v>0.7271712265739049</v>
      </c>
      <c r="DS62" s="59">
        <f t="shared" si="141"/>
        <v>0.7504238894755585</v>
      </c>
      <c r="DT62" s="59">
        <f t="shared" si="141"/>
        <v>0.733023223357172</v>
      </c>
      <c r="DU62" s="59">
        <f t="shared" si="141"/>
        <v>0.7371413299678681</v>
      </c>
      <c r="DV62" s="59">
        <f t="shared" si="141"/>
        <v>0.742485651558124</v>
      </c>
      <c r="DW62" s="59">
        <f aca="true" t="shared" si="142" ref="DW62:EG62">+DW36/DW8</f>
        <v>0.7353270154994909</v>
      </c>
      <c r="DX62" s="59">
        <f t="shared" si="142"/>
        <v>0.7257218412896759</v>
      </c>
      <c r="DY62" s="59">
        <f t="shared" si="142"/>
        <v>0.7346138511329162</v>
      </c>
      <c r="DZ62" s="59">
        <f t="shared" si="142"/>
        <v>0.7831913482487243</v>
      </c>
      <c r="EA62" s="59">
        <f t="shared" si="142"/>
        <v>0.7453443358858213</v>
      </c>
      <c r="EB62" s="59">
        <f t="shared" si="142"/>
        <v>0.7845001891841453</v>
      </c>
      <c r="EC62" s="59">
        <f t="shared" si="142"/>
        <v>0.7712588379214392</v>
      </c>
      <c r="ED62" s="59">
        <f t="shared" si="142"/>
        <v>0.7889276854778863</v>
      </c>
      <c r="EE62" s="59">
        <f>+EE36/EE8</f>
        <v>0.8296780347054831</v>
      </c>
      <c r="EF62" s="59">
        <f>+EF36/EF8</f>
        <v>0.6930330139680794</v>
      </c>
      <c r="EG62" s="59">
        <f t="shared" si="142"/>
        <v>0.7703551202924506</v>
      </c>
      <c r="EH62" s="59">
        <f aca="true" t="shared" si="143" ref="EH62:EM62">+EH36/EH8</f>
        <v>0.6105521506617373</v>
      </c>
      <c r="EI62" s="59">
        <f t="shared" si="143"/>
        <v>0.5815550282406053</v>
      </c>
      <c r="EJ62" s="59">
        <f t="shared" si="143"/>
        <v>0.5938424769295384</v>
      </c>
      <c r="EK62" s="59">
        <f t="shared" si="143"/>
        <v>0.594795168228001</v>
      </c>
      <c r="EL62" s="59">
        <f t="shared" si="143"/>
        <v>0.6716966013244571</v>
      </c>
      <c r="EM62" s="59">
        <f t="shared" si="143"/>
        <v>0.7222808316933135</v>
      </c>
      <c r="EN62" s="59">
        <f aca="true" t="shared" si="144" ref="EN62:ES62">+EN36/EN8</f>
        <v>0.7263691708249213</v>
      </c>
      <c r="EO62" s="59">
        <f t="shared" si="144"/>
        <v>0.7062010277985267</v>
      </c>
      <c r="EP62" s="59">
        <f t="shared" si="144"/>
        <v>0.7911161276933331</v>
      </c>
      <c r="EQ62" s="59">
        <f t="shared" si="144"/>
        <v>0.8052621369563717</v>
      </c>
      <c r="ER62" s="59">
        <f t="shared" si="144"/>
        <v>0.7856971985592233</v>
      </c>
      <c r="ES62" s="59">
        <f t="shared" si="144"/>
        <v>0.793819061521226</v>
      </c>
      <c r="ET62" s="59">
        <f aca="true" t="shared" si="145" ref="ET62:FJ62">+ET36/ET8</f>
        <v>0.6773300067655037</v>
      </c>
      <c r="EU62" s="59">
        <f t="shared" si="145"/>
        <v>0.7321425165230071</v>
      </c>
      <c r="EV62" s="59">
        <f t="shared" si="145"/>
        <v>0.7360823867603592</v>
      </c>
      <c r="EW62" s="59">
        <f t="shared" si="145"/>
        <v>0.7154411729022576</v>
      </c>
      <c r="EX62" s="59">
        <f t="shared" si="145"/>
        <v>0.705264470917321</v>
      </c>
      <c r="EY62" s="59">
        <f t="shared" si="145"/>
        <v>0.6575593844922845</v>
      </c>
      <c r="EZ62" s="59">
        <f t="shared" si="145"/>
        <v>0.7060794066966669</v>
      </c>
      <c r="FA62" s="59">
        <f>+_xlfn.IFERROR(FA36/FA8,0)</f>
        <v>0.6888911516123063</v>
      </c>
      <c r="FB62" s="59">
        <f t="shared" si="145"/>
        <v>0.7191414351040444</v>
      </c>
      <c r="FC62" s="59">
        <f t="shared" si="145"/>
        <v>0.7261966711474178</v>
      </c>
      <c r="FD62" s="59">
        <f t="shared" si="145"/>
        <v>0.6932162303685998</v>
      </c>
      <c r="FE62" s="59">
        <f>+_xlfn.IFERROR(FE36/FE8,0)</f>
        <v>0.7126476079957021</v>
      </c>
      <c r="FF62" s="59">
        <f t="shared" si="145"/>
        <v>0.7344911809310604</v>
      </c>
      <c r="FG62" s="59">
        <f t="shared" si="145"/>
        <v>0.7658760111795945</v>
      </c>
      <c r="FH62" s="59">
        <f t="shared" si="145"/>
        <v>0.8262129638965253</v>
      </c>
      <c r="FI62" s="59">
        <f>+_xlfn.IFERROR(FI36/FI8,0)</f>
        <v>0.7741515359441152</v>
      </c>
      <c r="FJ62" s="59">
        <f t="shared" si="145"/>
        <v>0.7249222694017925</v>
      </c>
      <c r="FK62" s="59"/>
      <c r="FL62" s="59"/>
      <c r="FM62" s="59">
        <f>+FM36/FM8</f>
        <v>0.7249222694017925</v>
      </c>
      <c r="FN62" s="59"/>
      <c r="FO62" s="59"/>
      <c r="FP62" s="59"/>
      <c r="FQ62" s="59">
        <f>+_xlfn.IFERROR(FQ36/FQ8,0)</f>
        <v>0</v>
      </c>
      <c r="FR62" s="59"/>
      <c r="FS62" s="59"/>
      <c r="FT62" s="59"/>
      <c r="FU62" s="59">
        <f>+_xlfn.IFERROR(FU36/FU8,0)</f>
        <v>0</v>
      </c>
      <c r="FV62" s="59"/>
      <c r="FW62" s="59"/>
      <c r="FX62" s="59"/>
      <c r="FY62" s="59">
        <f>+_xlfn.IFERROR(FY36/FY8,0)</f>
        <v>0</v>
      </c>
      <c r="FZ62" s="59"/>
      <c r="GA62" s="69">
        <f aca="true" t="shared" si="146" ref="GA62:GF62">+GA36/GA8</f>
        <v>0.6998884868838134</v>
      </c>
      <c r="GB62" s="69">
        <f t="shared" si="146"/>
        <v>0.6909609258337003</v>
      </c>
      <c r="GC62" s="69">
        <f t="shared" si="146"/>
        <v>0.6806716182365982</v>
      </c>
      <c r="GD62" s="69">
        <f t="shared" si="146"/>
        <v>0.7078908088371451</v>
      </c>
      <c r="GE62" s="69">
        <f t="shared" si="146"/>
        <v>0.7317253913853549</v>
      </c>
      <c r="GF62" s="69">
        <f t="shared" si="146"/>
        <v>0.7448583018206744</v>
      </c>
      <c r="GG62" s="69">
        <f>+GG36/GG8</f>
        <v>0.7151838875087537</v>
      </c>
      <c r="GH62" s="69">
        <f>+GH36/GH8</f>
        <v>0.7232868525102091</v>
      </c>
      <c r="GI62" s="69">
        <f>+GI36/GI8</f>
        <v>0.7249222694017925</v>
      </c>
      <c r="GJ62" s="59"/>
      <c r="GK62" s="59"/>
      <c r="GL62" s="59"/>
      <c r="GM62" s="59"/>
      <c r="GN62" s="59"/>
      <c r="GO62" s="59"/>
      <c r="GP62" s="59"/>
      <c r="GQ62" s="59"/>
      <c r="GR62" s="59"/>
      <c r="GS62" s="59"/>
      <c r="GT62" s="59"/>
      <c r="GU62" s="59"/>
      <c r="GV62" s="59"/>
      <c r="GW62" s="59"/>
    </row>
    <row r="63" spans="1:205" s="84" customFormat="1" ht="15" customHeight="1">
      <c r="A63" s="81"/>
      <c r="B63" s="82"/>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59"/>
      <c r="AJ63" s="69"/>
      <c r="AK63" s="83"/>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69"/>
      <c r="GB63" s="69"/>
      <c r="GC63" s="69"/>
      <c r="GD63" s="69"/>
      <c r="GE63" s="69"/>
      <c r="GF63" s="69"/>
      <c r="GG63" s="69"/>
      <c r="GH63" s="69"/>
      <c r="GI63" s="69"/>
      <c r="GJ63" s="59"/>
      <c r="GK63" s="59"/>
      <c r="GL63" s="59"/>
      <c r="GM63" s="59"/>
      <c r="GN63" s="59"/>
      <c r="GO63" s="59"/>
      <c r="GP63" s="59"/>
      <c r="GQ63" s="59"/>
      <c r="GR63" s="59"/>
      <c r="GS63" s="59"/>
      <c r="GT63" s="59"/>
      <c r="GU63" s="59"/>
      <c r="GV63" s="59"/>
      <c r="GW63" s="59"/>
    </row>
    <row r="64" spans="1:205" s="84" customFormat="1" ht="15" customHeight="1">
      <c r="A64" s="81"/>
      <c r="B64" s="82" t="s">
        <v>44</v>
      </c>
      <c r="C64" s="69">
        <f aca="true" t="shared" si="147" ref="C64:R64">+FJ64</f>
        <v>0.7267701921690877</v>
      </c>
      <c r="D64" s="69">
        <f t="shared" si="147"/>
        <v>0</v>
      </c>
      <c r="E64" s="69">
        <f t="shared" si="147"/>
        <v>0</v>
      </c>
      <c r="F64" s="69">
        <f t="shared" si="147"/>
        <v>0.7267701921690877</v>
      </c>
      <c r="G64" s="69">
        <f t="shared" si="147"/>
        <v>0</v>
      </c>
      <c r="H64" s="69">
        <f t="shared" si="147"/>
        <v>0</v>
      </c>
      <c r="I64" s="69">
        <f t="shared" si="147"/>
        <v>0</v>
      </c>
      <c r="J64" s="69">
        <f t="shared" si="147"/>
        <v>0</v>
      </c>
      <c r="K64" s="69">
        <f t="shared" si="147"/>
        <v>0</v>
      </c>
      <c r="L64" s="69">
        <f t="shared" si="147"/>
        <v>0</v>
      </c>
      <c r="M64" s="69">
        <f t="shared" si="147"/>
        <v>0</v>
      </c>
      <c r="N64" s="69">
        <f t="shared" si="147"/>
        <v>0</v>
      </c>
      <c r="O64" s="69">
        <f t="shared" si="147"/>
        <v>0</v>
      </c>
      <c r="P64" s="69">
        <f t="shared" si="147"/>
        <v>0</v>
      </c>
      <c r="Q64" s="69">
        <f t="shared" si="147"/>
        <v>0</v>
      </c>
      <c r="R64" s="69">
        <f t="shared" si="147"/>
        <v>0</v>
      </c>
      <c r="S64" s="69">
        <f aca="true" t="shared" si="148" ref="S64:AH64">+ET64</f>
        <v>0.7065395371101515</v>
      </c>
      <c r="T64" s="69">
        <f t="shared" si="148"/>
        <v>0.6990810089938625</v>
      </c>
      <c r="U64" s="69">
        <f t="shared" si="148"/>
        <v>0.7025717330658174</v>
      </c>
      <c r="V64" s="69">
        <f t="shared" si="148"/>
        <v>0.7025717330658174</v>
      </c>
      <c r="W64" s="69">
        <f t="shared" si="148"/>
        <v>0.7097038112003812</v>
      </c>
      <c r="X64" s="69">
        <f t="shared" si="148"/>
        <v>0.7156243378118424</v>
      </c>
      <c r="Y64" s="69">
        <f t="shared" si="148"/>
        <v>0.7255274200697708</v>
      </c>
      <c r="Z64" s="69">
        <f t="shared" si="148"/>
        <v>0.7255274200697708</v>
      </c>
      <c r="AA64" s="69">
        <f t="shared" si="148"/>
        <v>0.7298802196337767</v>
      </c>
      <c r="AB64" s="69">
        <f t="shared" si="148"/>
        <v>0.7302100359265835</v>
      </c>
      <c r="AC64" s="69">
        <f t="shared" si="148"/>
        <v>0.7270507353236</v>
      </c>
      <c r="AD64" s="69">
        <f t="shared" si="148"/>
        <v>0.7270507353236</v>
      </c>
      <c r="AE64" s="69">
        <f t="shared" si="148"/>
        <v>0.7221590274664466</v>
      </c>
      <c r="AF64" s="69">
        <f t="shared" si="148"/>
        <v>0.7196671274182088</v>
      </c>
      <c r="AG64" s="69">
        <f t="shared" si="148"/>
        <v>0.7232868525102091</v>
      </c>
      <c r="AH64" s="69">
        <f t="shared" si="148"/>
        <v>0.7232868525102091</v>
      </c>
      <c r="AI64" s="59">
        <f>+C64-S64</f>
        <v>0.020230655058936176</v>
      </c>
      <c r="AJ64" s="69">
        <f>+(AI64/S64)</f>
        <v>0.028633436625050693</v>
      </c>
      <c r="AK64" s="83"/>
      <c r="AL64" s="59">
        <v>0.6838971229170232</v>
      </c>
      <c r="AM64" s="59">
        <v>0.6818300289574258</v>
      </c>
      <c r="AN64" s="59">
        <v>0.6899199378342153</v>
      </c>
      <c r="AO64" s="59">
        <v>0.6899199378342153</v>
      </c>
      <c r="AP64" s="59">
        <v>0.6974587625333887</v>
      </c>
      <c r="AQ64" s="59">
        <v>0.6952143299256165</v>
      </c>
      <c r="AR64" s="59">
        <v>0.6920155466385933</v>
      </c>
      <c r="AS64" s="59">
        <v>0.6920155466385933</v>
      </c>
      <c r="AT64" s="59">
        <v>0.6970498900891129</v>
      </c>
      <c r="AU64" s="59">
        <v>0.6967952871280935</v>
      </c>
      <c r="AV64" s="59">
        <v>0.7016393993034348</v>
      </c>
      <c r="AW64" s="59">
        <v>0.7016393993034348</v>
      </c>
      <c r="AX64" s="59">
        <v>0.7010364428781135</v>
      </c>
      <c r="AY64" s="59">
        <v>0.6962834057122452</v>
      </c>
      <c r="AZ64" s="59">
        <v>0.6998884868838133</v>
      </c>
      <c r="BA64" s="59">
        <v>0.6998884868838133</v>
      </c>
      <c r="BB64" s="59">
        <v>0.6959943905235438</v>
      </c>
      <c r="BC64" s="59">
        <v>0.7028922991079799</v>
      </c>
      <c r="BD64" s="59">
        <v>0.6980243384213642</v>
      </c>
      <c r="BE64" s="59">
        <v>0.6980243384213642</v>
      </c>
      <c r="BF64" s="59">
        <v>0.6920388192729877</v>
      </c>
      <c r="BG64" s="59">
        <v>0.6869932576615676</v>
      </c>
      <c r="BH64" s="59">
        <v>0.6903307943866576</v>
      </c>
      <c r="BI64" s="59">
        <v>0.6903307943866576</v>
      </c>
      <c r="BJ64" s="59">
        <v>0.6876420091090479</v>
      </c>
      <c r="BK64" s="59">
        <v>0.6870730987454601</v>
      </c>
      <c r="BL64" s="59">
        <v>0.6829777695678627</v>
      </c>
      <c r="BM64" s="59">
        <v>0.6829777695678627</v>
      </c>
      <c r="BN64" s="59">
        <v>0.681604120808543</v>
      </c>
      <c r="BO64" s="59">
        <v>0.693095225348108</v>
      </c>
      <c r="BP64" s="59">
        <v>0.6909609258337004</v>
      </c>
      <c r="BQ64" s="59">
        <v>0.6909609258337004</v>
      </c>
      <c r="BR64" s="59">
        <v>0.6878501345195797</v>
      </c>
      <c r="BS64" s="59">
        <v>0.6844876345932952</v>
      </c>
      <c r="BT64" s="59">
        <v>0.6831575588799829</v>
      </c>
      <c r="BU64" s="59">
        <v>0.6831575588799829</v>
      </c>
      <c r="BV64" s="59">
        <v>0.6864172044823508</v>
      </c>
      <c r="BW64" s="59">
        <v>0.6824542640643955</v>
      </c>
      <c r="BX64" s="59">
        <v>0.6767116177715836</v>
      </c>
      <c r="BY64" s="59">
        <v>0.6767116177715836</v>
      </c>
      <c r="BZ64" s="59">
        <v>0.6750579925862474</v>
      </c>
      <c r="CA64" s="59">
        <v>0.6777189174762782</v>
      </c>
      <c r="CB64" s="59">
        <v>0.6771943723472685</v>
      </c>
      <c r="CC64" s="59">
        <v>0.6771943723472685</v>
      </c>
      <c r="CD64" s="59">
        <v>0.6798525532728639</v>
      </c>
      <c r="CE64" s="59">
        <v>0.6787210366300509</v>
      </c>
      <c r="CF64" s="59">
        <v>0.6806705454913698</v>
      </c>
      <c r="CG64" s="59">
        <v>0.6806705454913698</v>
      </c>
      <c r="CH64" s="59">
        <v>0.6841779860423721</v>
      </c>
      <c r="CI64" s="59">
        <v>0.684789727375905</v>
      </c>
      <c r="CJ64" s="59">
        <v>0.6880108403653046</v>
      </c>
      <c r="CK64" s="59">
        <v>0.6880108403653046</v>
      </c>
      <c r="CL64" s="59">
        <v>0.690925322010945</v>
      </c>
      <c r="CM64" s="59">
        <v>0.6955186438204483</v>
      </c>
      <c r="CN64" s="59">
        <v>0.7020277489769053</v>
      </c>
      <c r="CO64" s="59">
        <v>0.7020277489769053</v>
      </c>
      <c r="CP64" s="59">
        <v>0.7013205520953574</v>
      </c>
      <c r="CQ64" s="59">
        <v>0.6997599332453666</v>
      </c>
      <c r="CR64" s="59">
        <v>0.704132527810044</v>
      </c>
      <c r="CS64" s="59">
        <v>0.704132527810044</v>
      </c>
      <c r="CT64" s="59">
        <v>0.7056042383771952</v>
      </c>
      <c r="CU64" s="59">
        <v>0.7083130740039011</v>
      </c>
      <c r="CV64" s="59">
        <v>0.7078908088371451</v>
      </c>
      <c r="CW64" s="59">
        <v>0.7078908088371451</v>
      </c>
      <c r="CX64" s="59">
        <v>0.7059149274342431</v>
      </c>
      <c r="CY64" s="59">
        <v>0.7077145778371075</v>
      </c>
      <c r="CZ64" s="59">
        <v>0.7083221159886229</v>
      </c>
      <c r="DA64" s="59">
        <v>0.7083221159886229</v>
      </c>
      <c r="DB64" s="59">
        <v>0.7027370077294849</v>
      </c>
      <c r="DC64" s="59">
        <v>0.7056087123573254</v>
      </c>
      <c r="DD64" s="59">
        <v>0.7103140681242917</v>
      </c>
      <c r="DE64" s="59">
        <v>0.7103140681242917</v>
      </c>
      <c r="DF64" s="59">
        <v>0.715415848369844</v>
      </c>
      <c r="DG64" s="59">
        <v>0.7210864542422151</v>
      </c>
      <c r="DH64" s="59">
        <v>0.7243322824187876</v>
      </c>
      <c r="DI64" s="59">
        <v>0.7243322824187876</v>
      </c>
      <c r="DJ64" s="59">
        <v>0.7328160968626558</v>
      </c>
      <c r="DK64" s="59">
        <v>0.7313931597446014</v>
      </c>
      <c r="DL64" s="59">
        <v>0.7314657971337456</v>
      </c>
      <c r="DM64" s="59">
        <v>0.7314657971337456</v>
      </c>
      <c r="DN64" s="59">
        <v>0.7364869604764032</v>
      </c>
      <c r="DO64" s="59">
        <v>0.734682067930958</v>
      </c>
      <c r="DP64" s="59">
        <v>0.7353680953623356</v>
      </c>
      <c r="DQ64" s="59">
        <v>0.7353680953623356</v>
      </c>
      <c r="DR64" s="59">
        <v>0.7422084133520912</v>
      </c>
      <c r="DS64" s="59">
        <v>0.7455341449586447</v>
      </c>
      <c r="DT64" s="59">
        <v>0.7460142219234813</v>
      </c>
      <c r="DU64" s="59">
        <v>0.7460142219234813</v>
      </c>
      <c r="DV64" s="59">
        <v>0.7470693704363668</v>
      </c>
      <c r="DW64" s="59">
        <v>0.7462854867068426</v>
      </c>
      <c r="DX64" s="59">
        <v>0.7434498551647862</v>
      </c>
      <c r="DY64" s="59">
        <v>0.7434498551647862</v>
      </c>
      <c r="DZ64" s="59">
        <v>0.7420775263506267</v>
      </c>
      <c r="EA64" s="59">
        <v>0.7418803521118085</v>
      </c>
      <c r="EB64" s="59">
        <v>0.7448450726187715</v>
      </c>
      <c r="EC64" s="59">
        <v>0.7448450726187715</v>
      </c>
      <c r="ED64" s="59">
        <v>0.7502626656414904</v>
      </c>
      <c r="EE64" s="59">
        <v>0.7570656109462889</v>
      </c>
      <c r="EF64" s="59">
        <v>0.7528458615210842</v>
      </c>
      <c r="EG64" s="59">
        <v>0.7528458615210842</v>
      </c>
      <c r="EH64" s="59">
        <v>0.7439546263448575</v>
      </c>
      <c r="EI64" s="59">
        <v>0.729744593807332</v>
      </c>
      <c r="EJ64" s="59">
        <v>0.7173343884887342</v>
      </c>
      <c r="EK64" s="59">
        <v>0.7528458615210842</v>
      </c>
      <c r="EL64" s="59">
        <v>0.710842909290492</v>
      </c>
      <c r="EM64" s="59">
        <v>0.7096467581163419</v>
      </c>
      <c r="EN64" s="59">
        <v>0.7097189610566187</v>
      </c>
      <c r="EO64" s="59">
        <v>0.7528458615210842</v>
      </c>
      <c r="EP64" s="59">
        <v>0.7104492574778317</v>
      </c>
      <c r="EQ64" s="59">
        <v>0.7150842332894852</v>
      </c>
      <c r="ER64" s="59">
        <v>0.7153556974653256</v>
      </c>
      <c r="ES64" s="59">
        <v>0.7153556974653256</v>
      </c>
      <c r="ET64" s="59">
        <v>0.7065395371101515</v>
      </c>
      <c r="EU64" s="59">
        <v>0.6990810089938625</v>
      </c>
      <c r="EV64" s="59">
        <v>0.7025717330658174</v>
      </c>
      <c r="EW64" s="59">
        <f>+IF(EV64&lt;&gt;"",EV64,IF(EU64&lt;&gt;"",EU64,ET64))</f>
        <v>0.7025717330658174</v>
      </c>
      <c r="EX64" s="59">
        <v>0.7097038112003812</v>
      </c>
      <c r="EY64" s="59">
        <v>0.7156243378118424</v>
      </c>
      <c r="EZ64" s="59">
        <v>0.7255274200697708</v>
      </c>
      <c r="FA64" s="59">
        <f>+IF(EZ64&lt;&gt;"",EZ64,IF(EY64&lt;&gt;"",EY64,EX64))</f>
        <v>0.7255274200697708</v>
      </c>
      <c r="FB64" s="59">
        <v>0.7298802196337767</v>
      </c>
      <c r="FC64" s="59">
        <v>0.7302100359265835</v>
      </c>
      <c r="FD64" s="59">
        <v>0.7270507353236</v>
      </c>
      <c r="FE64" s="59">
        <f>+IF(FD64&lt;&gt;"",FD64,IF(FC64&lt;&gt;"",FC64,FB64))</f>
        <v>0.7270507353236</v>
      </c>
      <c r="FF64" s="59">
        <v>0.7221590274664466</v>
      </c>
      <c r="FG64" s="59">
        <v>0.7196671274182088</v>
      </c>
      <c r="FH64" s="59">
        <v>0.7232868525102091</v>
      </c>
      <c r="FI64" s="59">
        <f>+IF(FH64&lt;&gt;"",FH64,IF(FG64&lt;&gt;"",FG64,FF64))</f>
        <v>0.7232868525102091</v>
      </c>
      <c r="FJ64" s="59">
        <v>0.7267701921690877</v>
      </c>
      <c r="FK64" s="59"/>
      <c r="FL64" s="59"/>
      <c r="FM64" s="59">
        <f>+IF(FL64&lt;&gt;"",FL64,IF(FK64&lt;&gt;"",FK64,FJ64))</f>
        <v>0.7267701921690877</v>
      </c>
      <c r="FN64" s="59"/>
      <c r="FO64" s="59"/>
      <c r="FP64" s="59"/>
      <c r="FQ64" s="59">
        <f>+IF(FP64&lt;&gt;"",FP64,IF(FO64&lt;&gt;"",FO64,FN64))</f>
        <v>0</v>
      </c>
      <c r="FR64" s="59"/>
      <c r="FS64" s="59"/>
      <c r="FT64" s="59"/>
      <c r="FU64" s="59">
        <f>+IF(FT64&lt;&gt;"",FT64,IF(FS64&lt;&gt;"",FS64,FR64))</f>
        <v>0</v>
      </c>
      <c r="FV64" s="59"/>
      <c r="FW64" s="59"/>
      <c r="FX64" s="59"/>
      <c r="FY64" s="59">
        <f>+IF(FX64&lt;&gt;"",FX64,IF(FW64&lt;&gt;"",FW64,FV64))</f>
        <v>0</v>
      </c>
      <c r="FZ64" s="59"/>
      <c r="GA64" s="69">
        <f>+AZ64</f>
        <v>0.6998884868838133</v>
      </c>
      <c r="GB64" s="69">
        <f>+BP64</f>
        <v>0.6909609258337004</v>
      </c>
      <c r="GC64" s="69">
        <f>+CF64</f>
        <v>0.6806705454913698</v>
      </c>
      <c r="GD64" s="69">
        <f>+CV64</f>
        <v>0.7078908088371451</v>
      </c>
      <c r="GE64" s="69">
        <f>+DL64</f>
        <v>0.7314657971337456</v>
      </c>
      <c r="GF64" s="69">
        <f>+EC64</f>
        <v>0.7448450726187715</v>
      </c>
      <c r="GG64" s="69">
        <f>+ES64</f>
        <v>0.7153556974653256</v>
      </c>
      <c r="GH64" s="69">
        <f>+IF(FI64&lt;&gt;0,FI64,IF(FE64&lt;&gt;0,FE64,IF(FA64&lt;&gt;0,FA64,EW64)))</f>
        <v>0.7232868525102091</v>
      </c>
      <c r="GI64" s="69">
        <f>+IF(FY64&lt;&gt;0,FY64,IF(FU64&lt;&gt;0,FU64,IF(FQ64&lt;&gt;0,FQ64,FM64)))</f>
        <v>0.7267701921690877</v>
      </c>
      <c r="GJ64" s="59"/>
      <c r="GK64" s="59"/>
      <c r="GL64" s="59"/>
      <c r="GM64" s="59"/>
      <c r="GN64" s="59"/>
      <c r="GO64" s="59"/>
      <c r="GP64" s="59"/>
      <c r="GQ64" s="59"/>
      <c r="GR64" s="59"/>
      <c r="GS64" s="59"/>
      <c r="GT64" s="59"/>
      <c r="GU64" s="59"/>
      <c r="GV64" s="59"/>
      <c r="GW64" s="59"/>
    </row>
    <row r="65" spans="1:205" s="32" customFormat="1" ht="15" customHeight="1" outlineLevel="1">
      <c r="A65" s="21"/>
      <c r="B65" s="15"/>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5"/>
      <c r="AJ65" s="34"/>
      <c r="AK65" s="18"/>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3"/>
      <c r="GA65" s="34"/>
      <c r="GB65" s="34"/>
      <c r="GC65" s="34"/>
      <c r="GD65" s="34"/>
      <c r="GE65" s="34"/>
      <c r="GF65" s="34"/>
      <c r="GG65" s="34"/>
      <c r="GH65" s="34"/>
      <c r="GI65" s="34"/>
      <c r="GJ65" s="33"/>
      <c r="GK65" s="33"/>
      <c r="GL65" s="33"/>
      <c r="GM65" s="33"/>
      <c r="GN65" s="33"/>
      <c r="GO65" s="33"/>
      <c r="GP65" s="33"/>
      <c r="GQ65" s="33"/>
      <c r="GR65" s="33"/>
      <c r="GS65" s="33"/>
      <c r="GT65" s="33"/>
      <c r="GU65" s="33"/>
      <c r="GV65" s="33"/>
      <c r="GW65" s="33"/>
    </row>
    <row r="66" spans="1:205" ht="15" customHeight="1">
      <c r="A66" s="21"/>
      <c r="B66" s="36" t="s">
        <v>46</v>
      </c>
      <c r="C66" s="31">
        <f aca="true" t="shared" si="149" ref="C66:R66">+FJ66</f>
        <v>896026</v>
      </c>
      <c r="D66" s="31">
        <f t="shared" si="149"/>
        <v>0</v>
      </c>
      <c r="E66" s="31">
        <f t="shared" si="149"/>
        <v>0</v>
      </c>
      <c r="F66" s="31">
        <f t="shared" si="149"/>
        <v>896026</v>
      </c>
      <c r="G66" s="31">
        <f t="shared" si="149"/>
        <v>0</v>
      </c>
      <c r="H66" s="31">
        <f t="shared" si="149"/>
        <v>0</v>
      </c>
      <c r="I66" s="31">
        <f t="shared" si="149"/>
        <v>0</v>
      </c>
      <c r="J66" s="31">
        <f t="shared" si="149"/>
        <v>0</v>
      </c>
      <c r="K66" s="31">
        <f t="shared" si="149"/>
        <v>0</v>
      </c>
      <c r="L66" s="31">
        <f t="shared" si="149"/>
        <v>0</v>
      </c>
      <c r="M66" s="31">
        <f t="shared" si="149"/>
        <v>0</v>
      </c>
      <c r="N66" s="31">
        <f t="shared" si="149"/>
        <v>0</v>
      </c>
      <c r="O66" s="31">
        <f t="shared" si="149"/>
        <v>0</v>
      </c>
      <c r="P66" s="31">
        <f t="shared" si="149"/>
        <v>0</v>
      </c>
      <c r="Q66" s="31">
        <f t="shared" si="149"/>
        <v>0</v>
      </c>
      <c r="R66" s="31">
        <f t="shared" si="149"/>
        <v>0</v>
      </c>
      <c r="S66" s="31">
        <f aca="true" t="shared" si="150" ref="S66:AH66">+ET66</f>
        <v>869367</v>
      </c>
      <c r="T66" s="31">
        <f t="shared" si="150"/>
        <v>866295</v>
      </c>
      <c r="U66" s="31">
        <f t="shared" si="150"/>
        <v>875613</v>
      </c>
      <c r="V66" s="31">
        <f t="shared" si="150"/>
        <v>875613</v>
      </c>
      <c r="W66" s="31">
        <f t="shared" si="150"/>
        <v>877201</v>
      </c>
      <c r="X66" s="31">
        <f t="shared" si="150"/>
        <v>881830</v>
      </c>
      <c r="Y66" s="31">
        <f t="shared" si="150"/>
        <v>885456</v>
      </c>
      <c r="Z66" s="31">
        <f t="shared" si="150"/>
        <v>885456</v>
      </c>
      <c r="AA66" s="31">
        <f t="shared" si="150"/>
        <v>887181</v>
      </c>
      <c r="AB66" s="31">
        <f t="shared" si="150"/>
        <v>889618</v>
      </c>
      <c r="AC66" s="31">
        <f t="shared" si="150"/>
        <v>893234</v>
      </c>
      <c r="AD66" s="31">
        <f t="shared" si="150"/>
        <v>893234</v>
      </c>
      <c r="AE66" s="31">
        <f t="shared" si="150"/>
        <v>895062</v>
      </c>
      <c r="AF66" s="31">
        <f t="shared" si="150"/>
        <v>898501</v>
      </c>
      <c r="AG66" s="31">
        <f t="shared" si="150"/>
        <v>900995</v>
      </c>
      <c r="AH66" s="31">
        <f t="shared" si="150"/>
        <v>900995</v>
      </c>
      <c r="AI66" s="31">
        <f>+C66-S66</f>
        <v>26659</v>
      </c>
      <c r="AJ66" s="34">
        <f>+(AI66/S66)</f>
        <v>0.030664840050289462</v>
      </c>
      <c r="AL66" s="31">
        <v>575294</v>
      </c>
      <c r="AM66" s="31">
        <v>555715</v>
      </c>
      <c r="AN66" s="31">
        <v>582035</v>
      </c>
      <c r="AO66" s="31">
        <f>+AVERAGE(AL66:AN66)</f>
        <v>571014.6666666666</v>
      </c>
      <c r="AP66" s="31">
        <v>583864</v>
      </c>
      <c r="AQ66" s="31">
        <v>585073</v>
      </c>
      <c r="AR66" s="31">
        <v>587452</v>
      </c>
      <c r="AS66" s="31">
        <f>+AVERAGE(AP66:AR66)</f>
        <v>585463</v>
      </c>
      <c r="AT66" s="31">
        <v>588883</v>
      </c>
      <c r="AU66" s="31">
        <v>590875</v>
      </c>
      <c r="AV66" s="31">
        <v>590252</v>
      </c>
      <c r="AW66" s="31">
        <f>+AVERAGE(AT66:AV66)</f>
        <v>590003.3333333334</v>
      </c>
      <c r="AX66" s="31">
        <v>594225</v>
      </c>
      <c r="AY66" s="31">
        <v>593947</v>
      </c>
      <c r="AZ66" s="31">
        <v>597382</v>
      </c>
      <c r="BA66" s="31">
        <f>+AVERAGE(AX66:AZ66)</f>
        <v>595184.6666666666</v>
      </c>
      <c r="BB66" s="31">
        <v>596168</v>
      </c>
      <c r="BC66" s="31">
        <v>597577</v>
      </c>
      <c r="BD66" s="31">
        <v>599683</v>
      </c>
      <c r="BE66" s="31">
        <f>+AVERAGE(BB66:BD66)</f>
        <v>597809.3333333334</v>
      </c>
      <c r="BF66" s="31">
        <v>602241</v>
      </c>
      <c r="BG66" s="31">
        <v>606952</v>
      </c>
      <c r="BH66" s="31">
        <v>605470</v>
      </c>
      <c r="BI66" s="31">
        <f>+AVERAGE(BF66:BH66)</f>
        <v>604887.6666666666</v>
      </c>
      <c r="BJ66" s="31">
        <v>611374</v>
      </c>
      <c r="BK66" s="31">
        <v>610393</v>
      </c>
      <c r="BL66" s="31">
        <v>633370</v>
      </c>
      <c r="BM66" s="31">
        <f>+AVERAGE(BJ66:BL66)</f>
        <v>618379</v>
      </c>
      <c r="BN66" s="31">
        <v>635495</v>
      </c>
      <c r="BO66" s="31">
        <v>634993</v>
      </c>
      <c r="BP66" s="31">
        <v>633894</v>
      </c>
      <c r="BQ66" s="31">
        <f>+AVERAGE(BN66:BP66)</f>
        <v>634794</v>
      </c>
      <c r="BR66" s="31">
        <v>639916</v>
      </c>
      <c r="BS66" s="31">
        <v>633889</v>
      </c>
      <c r="BT66" s="31">
        <v>626269</v>
      </c>
      <c r="BU66" s="31">
        <f>+AVERAGE(BR66:BT66)</f>
        <v>633358</v>
      </c>
      <c r="BV66" s="31">
        <v>634675</v>
      </c>
      <c r="BW66" s="31">
        <v>633489</v>
      </c>
      <c r="BX66" s="31">
        <v>634537</v>
      </c>
      <c r="BY66" s="31">
        <f>+AVERAGE(BV66:BX66)</f>
        <v>634233.6666666666</v>
      </c>
      <c r="BZ66" s="31">
        <v>636393</v>
      </c>
      <c r="CA66" s="31">
        <v>637591</v>
      </c>
      <c r="CB66" s="31">
        <v>638039</v>
      </c>
      <c r="CC66" s="31">
        <f>+AVERAGE(BZ66:CB66)</f>
        <v>637341</v>
      </c>
      <c r="CD66" s="31">
        <v>660876</v>
      </c>
      <c r="CE66" s="31">
        <v>640867</v>
      </c>
      <c r="CF66" s="31">
        <v>642666</v>
      </c>
      <c r="CG66" s="31">
        <f>+AVERAGE(CD66:CF66)</f>
        <v>648136.3333333334</v>
      </c>
      <c r="CH66" s="31">
        <v>641140</v>
      </c>
      <c r="CI66" s="31">
        <v>641274</v>
      </c>
      <c r="CJ66" s="31">
        <v>646803</v>
      </c>
      <c r="CK66" s="31">
        <f>+AVERAGE(CH66:CJ66)</f>
        <v>643072.3333333334</v>
      </c>
      <c r="CL66" s="31">
        <v>645761</v>
      </c>
      <c r="CM66" s="31">
        <v>631621</v>
      </c>
      <c r="CN66" s="31">
        <v>638458</v>
      </c>
      <c r="CO66" s="31">
        <f>+AVERAGE(CL66:CN66)</f>
        <v>638613.3333333334</v>
      </c>
      <c r="CP66" s="31">
        <v>643499</v>
      </c>
      <c r="CQ66" s="31">
        <v>650027</v>
      </c>
      <c r="CR66" s="31">
        <v>650170</v>
      </c>
      <c r="CS66" s="31">
        <f>+AVERAGE(CP66:CR66)</f>
        <v>647898.6666666666</v>
      </c>
      <c r="CT66" s="31">
        <v>667791</v>
      </c>
      <c r="CU66" s="31">
        <v>676202</v>
      </c>
      <c r="CV66" s="31">
        <v>691728</v>
      </c>
      <c r="CW66" s="31">
        <f>+AVERAGE(CT66:CV66)</f>
        <v>678573.6666666666</v>
      </c>
      <c r="CX66" s="31">
        <v>701080</v>
      </c>
      <c r="CY66" s="31">
        <v>712810</v>
      </c>
      <c r="CZ66" s="31">
        <v>718040</v>
      </c>
      <c r="DA66" s="31">
        <f>+AVERAGE(CX66:CZ66)</f>
        <v>710643.3333333334</v>
      </c>
      <c r="DB66" s="31">
        <v>734921</v>
      </c>
      <c r="DC66" s="31">
        <v>747555</v>
      </c>
      <c r="DD66" s="31">
        <v>757278</v>
      </c>
      <c r="DE66" s="31">
        <f>+AVERAGE(DB66:DD66)</f>
        <v>746584.6666666666</v>
      </c>
      <c r="DF66" s="31">
        <v>765753</v>
      </c>
      <c r="DG66" s="31">
        <v>776878</v>
      </c>
      <c r="DH66" s="31">
        <v>784594</v>
      </c>
      <c r="DI66" s="31">
        <f>+AVERAGE(DF66:DH66)</f>
        <v>775741.6666666666</v>
      </c>
      <c r="DJ66" s="31">
        <v>796358</v>
      </c>
      <c r="DK66" s="31">
        <v>801660</v>
      </c>
      <c r="DL66" s="31">
        <v>807383</v>
      </c>
      <c r="DM66" s="31">
        <f>+AVERAGE(DJ66:DL66)</f>
        <v>801800.3333333334</v>
      </c>
      <c r="DN66" s="31">
        <v>809309</v>
      </c>
      <c r="DO66" s="31">
        <v>811277</v>
      </c>
      <c r="DP66" s="31">
        <v>823060</v>
      </c>
      <c r="DQ66" s="31">
        <f>+AVERAGE(DN66:DP66)</f>
        <v>814548.6666666666</v>
      </c>
      <c r="DR66" s="31">
        <v>823858</v>
      </c>
      <c r="DS66" s="31">
        <v>828478</v>
      </c>
      <c r="DT66" s="31">
        <v>832583</v>
      </c>
      <c r="DU66" s="31">
        <f>+AVERAGE(DR66:DT66)</f>
        <v>828306.3333333334</v>
      </c>
      <c r="DV66" s="31">
        <v>841428</v>
      </c>
      <c r="DW66" s="31">
        <v>842929</v>
      </c>
      <c r="DX66" s="31">
        <v>840967</v>
      </c>
      <c r="DY66" s="31">
        <f>+AVERAGE(DV66:DX66)</f>
        <v>841774.6666666666</v>
      </c>
      <c r="DZ66" s="31">
        <v>846263</v>
      </c>
      <c r="EA66" s="31">
        <v>853729</v>
      </c>
      <c r="EB66" s="31">
        <v>858696</v>
      </c>
      <c r="EC66" s="31">
        <f>+AVERAGE(DZ66:EB66)</f>
        <v>852896</v>
      </c>
      <c r="ED66" s="31">
        <v>850838</v>
      </c>
      <c r="EE66" s="31">
        <v>868024</v>
      </c>
      <c r="EF66" s="31">
        <v>861671</v>
      </c>
      <c r="EG66" s="31">
        <f>+EF66</f>
        <v>861671</v>
      </c>
      <c r="EH66" s="31">
        <v>855907</v>
      </c>
      <c r="EI66" s="31">
        <v>858747</v>
      </c>
      <c r="EJ66" s="31">
        <v>857111</v>
      </c>
      <c r="EK66" s="31">
        <f>+EJ66</f>
        <v>857111</v>
      </c>
      <c r="EL66" s="31">
        <v>867401</v>
      </c>
      <c r="EM66" s="31">
        <v>867107</v>
      </c>
      <c r="EN66" s="31">
        <v>871619</v>
      </c>
      <c r="EO66" s="31">
        <f>+EN66</f>
        <v>871619</v>
      </c>
      <c r="EP66" s="31">
        <v>873301</v>
      </c>
      <c r="EQ66" s="31">
        <v>872593</v>
      </c>
      <c r="ER66" s="31">
        <v>873972</v>
      </c>
      <c r="ES66" s="31">
        <f>+ER66</f>
        <v>873972</v>
      </c>
      <c r="ET66" s="31">
        <v>869367</v>
      </c>
      <c r="EU66" s="31">
        <v>866295</v>
      </c>
      <c r="EV66" s="31">
        <v>875613</v>
      </c>
      <c r="EW66" s="31">
        <f>+IF(EV66&lt;&gt;"",EV66,IF(EU66&lt;&gt;"",EU66,ET66))</f>
        <v>875613</v>
      </c>
      <c r="EX66" s="31">
        <v>877201</v>
      </c>
      <c r="EY66" s="31">
        <v>881830</v>
      </c>
      <c r="EZ66" s="31">
        <v>885456</v>
      </c>
      <c r="FA66" s="31">
        <f>+IF(EZ66&lt;&gt;"",EZ66,IF(EY66&lt;&gt;"",EY66,EX66))</f>
        <v>885456</v>
      </c>
      <c r="FB66" s="31">
        <v>887181</v>
      </c>
      <c r="FC66" s="31">
        <v>889618</v>
      </c>
      <c r="FD66" s="31">
        <v>893234</v>
      </c>
      <c r="FE66" s="31">
        <f>+IF(FD66&lt;&gt;"",FD66,IF(FC66&lt;&gt;"",FC66,FB66))</f>
        <v>893234</v>
      </c>
      <c r="FF66" s="35">
        <v>895062</v>
      </c>
      <c r="FG66" s="31">
        <v>898501</v>
      </c>
      <c r="FH66" s="31">
        <v>900995</v>
      </c>
      <c r="FI66" s="31">
        <f>+IF(FH66&lt;&gt;"",FH66,IF(FG66&lt;&gt;"",FG66,FF66))</f>
        <v>900995</v>
      </c>
      <c r="FJ66" s="31">
        <v>896026</v>
      </c>
      <c r="FK66" s="31"/>
      <c r="FL66" s="31"/>
      <c r="FM66" s="31">
        <f>+IF(FL66&lt;&gt;"",FL66,IF(FK66&lt;&gt;"",FK66,FJ66))</f>
        <v>896026</v>
      </c>
      <c r="FN66" s="31"/>
      <c r="FO66" s="31"/>
      <c r="FP66" s="31"/>
      <c r="FQ66" s="31">
        <f>+IF(FP66&lt;&gt;"",FP66,IF(FO66&lt;&gt;"",FO66,FN66))</f>
        <v>0</v>
      </c>
      <c r="FR66" s="31"/>
      <c r="FS66" s="31"/>
      <c r="FT66" s="31"/>
      <c r="FU66" s="31">
        <f>+IF(FT66&lt;&gt;"",FT66,IF(FS66&lt;&gt;"",FS66,FR66))</f>
        <v>0</v>
      </c>
      <c r="FV66" s="35"/>
      <c r="FW66" s="31"/>
      <c r="FX66" s="31"/>
      <c r="FY66" s="31">
        <f>+IF(FX66&lt;&gt;"",FX66,IF(FW66&lt;&gt;"",FW66,FV66))</f>
        <v>0</v>
      </c>
      <c r="FZ66" s="33"/>
      <c r="GA66" s="22">
        <f>+AVERAGE(AO66,AS66,AW66,BA66)</f>
        <v>585416.4166666666</v>
      </c>
      <c r="GB66" s="22">
        <f>+AVERAGE(BE66,BI66,BM66,BQ66)</f>
        <v>613967.5</v>
      </c>
      <c r="GC66" s="29">
        <f>+AVERAGE(BU66,BY66,CC66,CG66)</f>
        <v>638267.25</v>
      </c>
      <c r="GD66" s="31">
        <f>+AVERAGE(CK66,CO66,CS66,CW66)</f>
        <v>652039.5</v>
      </c>
      <c r="GE66" s="31">
        <f>+AVERAGE(DA66,DE66,DI66,DM66)</f>
        <v>758692.5</v>
      </c>
      <c r="GF66" s="31">
        <f>+AVERAGE(DQ66,DU66,DY66,EC66)</f>
        <v>834381.4166666666</v>
      </c>
      <c r="GG66" s="31">
        <f>+ES66</f>
        <v>873972</v>
      </c>
      <c r="GH66" s="31">
        <f>+IF(FI66&lt;&gt;0,FI66,IF(FE66&lt;&gt;0,FE66,IF(FA66&lt;&gt;0,FA66,EW66)))</f>
        <v>900995</v>
      </c>
      <c r="GI66" s="31">
        <f>+IF(FY66&lt;&gt;0,FY66,IF(FU66&lt;&gt;0,FU66,IF(FQ66&lt;&gt;0,FQ66,FM66)))</f>
        <v>896026</v>
      </c>
      <c r="GJ66" s="33"/>
      <c r="GK66" s="33"/>
      <c r="GL66" s="33"/>
      <c r="GM66" s="33"/>
      <c r="GN66" s="33"/>
      <c r="GO66" s="33"/>
      <c r="GP66" s="33"/>
      <c r="GQ66" s="33"/>
      <c r="GR66" s="33"/>
      <c r="GS66" s="33"/>
      <c r="GT66" s="33"/>
      <c r="GU66" s="33"/>
      <c r="GV66" s="33"/>
      <c r="GW66" s="33"/>
    </row>
    <row r="67" spans="1:205" s="32" customFormat="1" ht="15" customHeight="1" outlineLevel="1">
      <c r="A67" s="21"/>
      <c r="B67" s="33"/>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5"/>
      <c r="AJ67" s="34"/>
      <c r="AK67" s="18"/>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3"/>
      <c r="GA67" s="31"/>
      <c r="GB67" s="31"/>
      <c r="GC67" s="31"/>
      <c r="GD67" s="31"/>
      <c r="GE67" s="31"/>
      <c r="GF67" s="31"/>
      <c r="GG67" s="31"/>
      <c r="GH67" s="31"/>
      <c r="GI67" s="31"/>
      <c r="GJ67" s="33"/>
      <c r="GK67" s="33"/>
      <c r="GL67" s="33"/>
      <c r="GM67" s="33"/>
      <c r="GN67" s="33"/>
      <c r="GO67" s="33"/>
      <c r="GP67" s="33"/>
      <c r="GQ67" s="33"/>
      <c r="GR67" s="33"/>
      <c r="GS67" s="33"/>
      <c r="GT67" s="33"/>
      <c r="GU67" s="33"/>
      <c r="GV67" s="33"/>
      <c r="GW67" s="33"/>
    </row>
    <row r="68" spans="1:205" s="32" customFormat="1" ht="15" customHeight="1" outlineLevel="1">
      <c r="A68" s="21"/>
      <c r="B68" s="36" t="s">
        <v>40</v>
      </c>
      <c r="C68" s="31">
        <f aca="true" t="shared" si="151" ref="C68:R68">+FJ68</f>
        <v>687158</v>
      </c>
      <c r="D68" s="31">
        <f t="shared" si="151"/>
        <v>0</v>
      </c>
      <c r="E68" s="31">
        <f t="shared" si="151"/>
        <v>0</v>
      </c>
      <c r="F68" s="31">
        <f t="shared" si="151"/>
        <v>687158</v>
      </c>
      <c r="G68" s="31">
        <f t="shared" si="151"/>
        <v>0</v>
      </c>
      <c r="H68" s="31">
        <f t="shared" si="151"/>
        <v>0</v>
      </c>
      <c r="I68" s="31">
        <f t="shared" si="151"/>
        <v>0</v>
      </c>
      <c r="J68" s="31">
        <f t="shared" si="151"/>
        <v>0</v>
      </c>
      <c r="K68" s="31">
        <f t="shared" si="151"/>
        <v>0</v>
      </c>
      <c r="L68" s="31">
        <f t="shared" si="151"/>
        <v>0</v>
      </c>
      <c r="M68" s="31">
        <f t="shared" si="151"/>
        <v>0</v>
      </c>
      <c r="N68" s="31">
        <f t="shared" si="151"/>
        <v>0</v>
      </c>
      <c r="O68" s="31">
        <f t="shared" si="151"/>
        <v>0</v>
      </c>
      <c r="P68" s="31">
        <f t="shared" si="151"/>
        <v>0</v>
      </c>
      <c r="Q68" s="31">
        <f t="shared" si="151"/>
        <v>0</v>
      </c>
      <c r="R68" s="31">
        <f t="shared" si="151"/>
        <v>0</v>
      </c>
      <c r="S68" s="31">
        <f aca="true" t="shared" si="152" ref="S68:AH68">+ET68</f>
        <v>641376</v>
      </c>
      <c r="T68" s="31">
        <f t="shared" si="152"/>
        <v>644720</v>
      </c>
      <c r="U68" s="31">
        <f t="shared" si="152"/>
        <v>648153</v>
      </c>
      <c r="V68" s="31">
        <f t="shared" si="152"/>
        <v>648153</v>
      </c>
      <c r="W68" s="31">
        <f t="shared" si="152"/>
        <v>653577</v>
      </c>
      <c r="X68" s="31">
        <f t="shared" si="152"/>
        <v>657629</v>
      </c>
      <c r="Y68" s="31">
        <f t="shared" si="152"/>
        <v>662776</v>
      </c>
      <c r="Z68" s="31">
        <f t="shared" si="152"/>
        <v>662776</v>
      </c>
      <c r="AA68" s="31">
        <f t="shared" si="152"/>
        <v>666120</v>
      </c>
      <c r="AB68" s="31">
        <f t="shared" si="152"/>
        <v>669608</v>
      </c>
      <c r="AC68" s="31">
        <f t="shared" si="152"/>
        <v>672487</v>
      </c>
      <c r="AD68" s="31">
        <f t="shared" si="152"/>
        <v>672487</v>
      </c>
      <c r="AE68" s="31">
        <f t="shared" si="152"/>
        <v>677611</v>
      </c>
      <c r="AF68" s="31">
        <f t="shared" si="152"/>
        <v>681409</v>
      </c>
      <c r="AG68" s="31">
        <f t="shared" si="152"/>
        <v>683462</v>
      </c>
      <c r="AH68" s="31">
        <f t="shared" si="152"/>
        <v>683462</v>
      </c>
      <c r="AI68" s="31">
        <f>+C68-S68</f>
        <v>45782</v>
      </c>
      <c r="AJ68" s="34">
        <f>+(AI68/S68)</f>
        <v>0.07138090605198823</v>
      </c>
      <c r="AK68" s="18"/>
      <c r="AL68" s="31">
        <v>104905</v>
      </c>
      <c r="AM68" s="31">
        <v>109865</v>
      </c>
      <c r="AN68" s="31">
        <v>116433</v>
      </c>
      <c r="AO68" s="31">
        <f>+AVERAGE(AL68:AN68)</f>
        <v>110401</v>
      </c>
      <c r="AP68" s="31">
        <v>122684</v>
      </c>
      <c r="AQ68" s="31">
        <v>128050</v>
      </c>
      <c r="AR68" s="31">
        <v>135902</v>
      </c>
      <c r="AS68" s="31">
        <f>+AVERAGE(AP68:AR68)</f>
        <v>128878.66666666667</v>
      </c>
      <c r="AT68" s="31">
        <v>141735</v>
      </c>
      <c r="AU68" s="31">
        <v>147737</v>
      </c>
      <c r="AV68" s="31">
        <v>149796</v>
      </c>
      <c r="AW68" s="31">
        <f>+AVERAGE(AT68:AV68)</f>
        <v>146422.66666666666</v>
      </c>
      <c r="AX68" s="31">
        <v>143254</v>
      </c>
      <c r="AY68" s="31">
        <v>145095</v>
      </c>
      <c r="AZ68" s="31">
        <v>148438</v>
      </c>
      <c r="BA68" s="31">
        <f>+AVERAGE(AX68:AZ68)</f>
        <v>145595.66666666666</v>
      </c>
      <c r="BB68" s="31">
        <v>149923</v>
      </c>
      <c r="BC68" s="31">
        <v>151508</v>
      </c>
      <c r="BD68" s="31">
        <v>154469</v>
      </c>
      <c r="BE68" s="31">
        <f>+AVERAGE(BB68:BD68)</f>
        <v>151966.66666666666</v>
      </c>
      <c r="BF68" s="31">
        <v>157023</v>
      </c>
      <c r="BG68" s="31">
        <v>159261</v>
      </c>
      <c r="BH68" s="31">
        <v>159054</v>
      </c>
      <c r="BI68" s="31">
        <f>+AVERAGE(BF68:BH68)</f>
        <v>158446</v>
      </c>
      <c r="BJ68" s="31">
        <v>162555</v>
      </c>
      <c r="BK68" s="31">
        <v>160385</v>
      </c>
      <c r="BL68" s="31">
        <v>162041</v>
      </c>
      <c r="BM68" s="31">
        <f>+AVERAGE(BJ68:BL68)</f>
        <v>161660.33333333334</v>
      </c>
      <c r="BN68" s="31">
        <v>162707</v>
      </c>
      <c r="BO68" s="31">
        <v>163448</v>
      </c>
      <c r="BP68" s="31">
        <v>164227</v>
      </c>
      <c r="BQ68" s="31">
        <f>+AVERAGE(BN68:BP68)</f>
        <v>163460.66666666666</v>
      </c>
      <c r="BR68" s="31">
        <v>192050</v>
      </c>
      <c r="BS68" s="31">
        <v>192607</v>
      </c>
      <c r="BT68" s="31">
        <v>193909</v>
      </c>
      <c r="BU68" s="31">
        <f>+AVERAGE(BR68:BT68)</f>
        <v>192855.33333333334</v>
      </c>
      <c r="BV68" s="31">
        <v>195766</v>
      </c>
      <c r="BW68" s="31">
        <v>195266</v>
      </c>
      <c r="BX68" s="31">
        <v>213578</v>
      </c>
      <c r="BY68" s="31">
        <f>+AVERAGE(BV68:BX68)</f>
        <v>201536.66666666666</v>
      </c>
      <c r="BZ68" s="31">
        <v>206778</v>
      </c>
      <c r="CA68" s="31">
        <v>209572</v>
      </c>
      <c r="CB68" s="31">
        <v>211353</v>
      </c>
      <c r="CC68" s="31">
        <f>+AVERAGE(BZ68:CB68)</f>
        <v>209234.33333333334</v>
      </c>
      <c r="CD68" s="31">
        <v>213090</v>
      </c>
      <c r="CE68" s="31">
        <v>214813</v>
      </c>
      <c r="CF68" s="31">
        <v>217168</v>
      </c>
      <c r="CG68" s="31">
        <f>+AVERAGE(CD68:CF68)</f>
        <v>215023.66666666666</v>
      </c>
      <c r="CH68" s="31">
        <v>223138</v>
      </c>
      <c r="CI68" s="31">
        <v>229650</v>
      </c>
      <c r="CJ68" s="31">
        <v>234705</v>
      </c>
      <c r="CK68" s="31">
        <f>+AVERAGE(CH68:CJ68)</f>
        <v>229164.33333333334</v>
      </c>
      <c r="CL68" s="31">
        <v>239915</v>
      </c>
      <c r="CM68" s="31">
        <v>246485</v>
      </c>
      <c r="CN68" s="31">
        <v>254257</v>
      </c>
      <c r="CO68" s="31">
        <f>+AVERAGE(CL68:CN68)</f>
        <v>246885.66666666666</v>
      </c>
      <c r="CP68" s="31">
        <v>263957</v>
      </c>
      <c r="CQ68" s="31">
        <v>279638</v>
      </c>
      <c r="CR68" s="31">
        <v>285981</v>
      </c>
      <c r="CS68" s="31">
        <f>+AVERAGE(CP68:CR68)</f>
        <v>276525.3333333333</v>
      </c>
      <c r="CT68" s="31">
        <v>313170</v>
      </c>
      <c r="CU68" s="31">
        <v>334347</v>
      </c>
      <c r="CV68" s="31">
        <v>349347</v>
      </c>
      <c r="CW68" s="31">
        <f>+AVERAGE(CT68:CV68)</f>
        <v>332288</v>
      </c>
      <c r="CX68" s="31">
        <v>372223</v>
      </c>
      <c r="CY68" s="31">
        <v>393508</v>
      </c>
      <c r="CZ68" s="31">
        <v>414814</v>
      </c>
      <c r="DA68" s="31">
        <f>+AVERAGE(CX68:CZ68)</f>
        <v>393515</v>
      </c>
      <c r="DB68" s="31">
        <v>437099</v>
      </c>
      <c r="DC68" s="31">
        <v>455749</v>
      </c>
      <c r="DD68" s="31">
        <v>467672</v>
      </c>
      <c r="DE68" s="31">
        <f>+AVERAGE(DB68:DD68)</f>
        <v>453506.6666666667</v>
      </c>
      <c r="DF68" s="31">
        <v>479964</v>
      </c>
      <c r="DG68" s="31">
        <v>492471</v>
      </c>
      <c r="DH68" s="31">
        <v>507530</v>
      </c>
      <c r="DI68" s="31">
        <f>+AVERAGE(DF68:DH68)</f>
        <v>493321.6666666667</v>
      </c>
      <c r="DJ68" s="31">
        <v>505762</v>
      </c>
      <c r="DK68" s="31">
        <v>513881</v>
      </c>
      <c r="DL68" s="31">
        <v>519062</v>
      </c>
      <c r="DM68" s="31">
        <f>+AVERAGE(DJ68:DL68)</f>
        <v>512901.6666666667</v>
      </c>
      <c r="DN68" s="31">
        <v>522885</v>
      </c>
      <c r="DO68" s="31">
        <v>527785</v>
      </c>
      <c r="DP68" s="31">
        <v>535808</v>
      </c>
      <c r="DQ68" s="31">
        <f>+AVERAGE(DN68:DP68)</f>
        <v>528826</v>
      </c>
      <c r="DR68" s="31">
        <v>539983</v>
      </c>
      <c r="DS68" s="31">
        <v>545617</v>
      </c>
      <c r="DT68" s="31">
        <v>551146</v>
      </c>
      <c r="DU68" s="31">
        <f>+AVERAGE(DR68:DT68)</f>
        <v>545582</v>
      </c>
      <c r="DV68" s="31">
        <v>555028</v>
      </c>
      <c r="DW68" s="31">
        <v>560282</v>
      </c>
      <c r="DX68" s="31">
        <v>566107</v>
      </c>
      <c r="DY68" s="31">
        <f>+AVERAGE(DV68:DX68)</f>
        <v>560472.3333333334</v>
      </c>
      <c r="DZ68" s="31">
        <v>573799</v>
      </c>
      <c r="EA68" s="31">
        <v>577934</v>
      </c>
      <c r="EB68" s="31">
        <v>583568</v>
      </c>
      <c r="EC68" s="31">
        <f>+AVERAGE(DZ68:EB68)</f>
        <v>578433.6666666666</v>
      </c>
      <c r="ED68" s="31">
        <v>591941</v>
      </c>
      <c r="EE68" s="31">
        <v>593475</v>
      </c>
      <c r="EF68" s="31">
        <v>599510</v>
      </c>
      <c r="EG68" s="31">
        <f>+EF68</f>
        <v>599510</v>
      </c>
      <c r="EH68" s="31">
        <v>601033</v>
      </c>
      <c r="EI68" s="31">
        <v>603626</v>
      </c>
      <c r="EJ68" s="31">
        <v>607088</v>
      </c>
      <c r="EK68" s="31">
        <f>+EJ68</f>
        <v>607088</v>
      </c>
      <c r="EL68" s="31">
        <v>612541</v>
      </c>
      <c r="EM68" s="31">
        <v>621847</v>
      </c>
      <c r="EN68" s="31">
        <v>629089</v>
      </c>
      <c r="EO68" s="31">
        <f>+EN68</f>
        <v>629089</v>
      </c>
      <c r="EP68" s="31">
        <v>635669</v>
      </c>
      <c r="EQ68" s="31">
        <v>638414</v>
      </c>
      <c r="ER68" s="31">
        <v>637803</v>
      </c>
      <c r="ES68" s="31">
        <f>+ER68</f>
        <v>637803</v>
      </c>
      <c r="ET68" s="31">
        <v>641376</v>
      </c>
      <c r="EU68" s="31">
        <v>644720</v>
      </c>
      <c r="EV68" s="31">
        <v>648153</v>
      </c>
      <c r="EW68" s="31">
        <f>+IF(EV68&lt;&gt;"",EV68,IF(EU68&lt;&gt;"",EU68,ET68))</f>
        <v>648153</v>
      </c>
      <c r="EX68" s="31">
        <v>653577</v>
      </c>
      <c r="EY68" s="31">
        <v>657629</v>
      </c>
      <c r="EZ68" s="31">
        <v>662776</v>
      </c>
      <c r="FA68" s="31">
        <f>+IF(EZ68&lt;&gt;"",EZ68,IF(EY68&lt;&gt;"",EY68,EX68))</f>
        <v>662776</v>
      </c>
      <c r="FB68" s="31">
        <v>666120</v>
      </c>
      <c r="FC68" s="31">
        <v>669608</v>
      </c>
      <c r="FD68" s="31">
        <v>672487</v>
      </c>
      <c r="FE68" s="31">
        <f>+IF(FD68&lt;&gt;"",FD68,IF(FC68&lt;&gt;"",FC68,FB68))</f>
        <v>672487</v>
      </c>
      <c r="FF68" s="35">
        <v>677611</v>
      </c>
      <c r="FG68" s="31">
        <v>681409</v>
      </c>
      <c r="FH68" s="31">
        <v>683462</v>
      </c>
      <c r="FI68" s="31">
        <f>+IF(FH68&lt;&gt;"",FH68,IF(FG68&lt;&gt;"",FG68,FF68))</f>
        <v>683462</v>
      </c>
      <c r="FJ68" s="31">
        <v>687158</v>
      </c>
      <c r="FK68" s="31"/>
      <c r="FL68" s="31"/>
      <c r="FM68" s="31">
        <f>+IF(FL68&lt;&gt;"",FL68,IF(FK68&lt;&gt;"",FK68,FJ68))</f>
        <v>687158</v>
      </c>
      <c r="FN68" s="31"/>
      <c r="FO68" s="31"/>
      <c r="FP68" s="31"/>
      <c r="FQ68" s="31">
        <f>+IF(FP68&lt;&gt;"",FP68,IF(FO68&lt;&gt;"",FO68,FN68))</f>
        <v>0</v>
      </c>
      <c r="FR68" s="31"/>
      <c r="FS68" s="31"/>
      <c r="FT68" s="31"/>
      <c r="FU68" s="31">
        <f>+IF(FT68&lt;&gt;"",FT68,IF(FS68&lt;&gt;"",FS68,FR68))</f>
        <v>0</v>
      </c>
      <c r="FV68" s="35"/>
      <c r="FW68" s="31"/>
      <c r="FX68" s="31"/>
      <c r="FY68" s="31">
        <f>+IF(FX68&lt;&gt;"",FX68,IF(FW68&lt;&gt;"",FW68,FV68))</f>
        <v>0</v>
      </c>
      <c r="FZ68" s="33"/>
      <c r="GA68" s="31">
        <f>+AVERAGE(AO68,AS68,AW68,BA68)</f>
        <v>132824.5</v>
      </c>
      <c r="GB68" s="31">
        <f>+AVERAGE(BE68,BI68,BM68,BQ68)</f>
        <v>158883.41666666666</v>
      </c>
      <c r="GC68" s="31">
        <f>+AVERAGE(BU68,BY68,CC68,CG68)</f>
        <v>204662.5</v>
      </c>
      <c r="GD68" s="31">
        <f>+AVERAGE(CK68,CO68,CS68,CW68)</f>
        <v>271215.8333333333</v>
      </c>
      <c r="GE68" s="31">
        <f>+AVERAGE(DA68,DE68,DI68,DM68)</f>
        <v>463311.25000000006</v>
      </c>
      <c r="GF68" s="31">
        <f>+AVERAGE(DQ68,DU68,DY68,EC68)</f>
        <v>553328.5</v>
      </c>
      <c r="GG68" s="31">
        <f>+ES68</f>
        <v>637803</v>
      </c>
      <c r="GH68" s="31">
        <f>+IF(FI68&lt;&gt;0,FI68,IF(FE68&lt;&gt;0,FE68,IF(FA68&lt;&gt;0,FA68,EW68)))</f>
        <v>683462</v>
      </c>
      <c r="GI68" s="31">
        <f>+IF(FY68&lt;&gt;0,FY68,IF(FU68&lt;&gt;0,FU68,IF(FQ68&lt;&gt;0,FQ68,FM68)))</f>
        <v>687158</v>
      </c>
      <c r="GJ68" s="33"/>
      <c r="GK68" s="33"/>
      <c r="GL68" s="33"/>
      <c r="GM68" s="33"/>
      <c r="GN68" s="33"/>
      <c r="GO68" s="33"/>
      <c r="GP68" s="33"/>
      <c r="GQ68" s="33"/>
      <c r="GR68" s="33"/>
      <c r="GS68" s="33"/>
      <c r="GT68" s="33"/>
      <c r="GU68" s="33"/>
      <c r="GV68" s="33"/>
      <c r="GW68" s="33"/>
    </row>
    <row r="69" spans="1:205" s="32" customFormat="1" ht="15" customHeight="1" outlineLevel="1">
      <c r="A69" s="21"/>
      <c r="B69" s="15"/>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5"/>
      <c r="AJ69" s="34"/>
      <c r="AK69" s="18"/>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3"/>
      <c r="GA69" s="31"/>
      <c r="GB69" s="31"/>
      <c r="GC69" s="31"/>
      <c r="GD69" s="31"/>
      <c r="GE69" s="31"/>
      <c r="GF69" s="31"/>
      <c r="GG69" s="31"/>
      <c r="GH69" s="31"/>
      <c r="GI69" s="31"/>
      <c r="GJ69" s="33"/>
      <c r="GK69" s="33"/>
      <c r="GL69" s="33"/>
      <c r="GM69" s="33"/>
      <c r="GN69" s="33"/>
      <c r="GO69" s="33"/>
      <c r="GP69" s="33"/>
      <c r="GQ69" s="33"/>
      <c r="GR69" s="33"/>
      <c r="GS69" s="33"/>
      <c r="GT69" s="33"/>
      <c r="GU69" s="33"/>
      <c r="GV69" s="33"/>
      <c r="GW69" s="33"/>
    </row>
    <row r="70" spans="1:205" s="32" customFormat="1" ht="15" customHeight="1" outlineLevel="1">
      <c r="A70" s="21"/>
      <c r="B70" s="36" t="s">
        <v>34</v>
      </c>
      <c r="C70" s="31">
        <f aca="true" t="shared" si="153" ref="C70:R70">+FJ70</f>
        <v>137694</v>
      </c>
      <c r="D70" s="31">
        <f t="shared" si="153"/>
        <v>0</v>
      </c>
      <c r="E70" s="31">
        <f t="shared" si="153"/>
        <v>0</v>
      </c>
      <c r="F70" s="31">
        <f t="shared" si="153"/>
        <v>137694</v>
      </c>
      <c r="G70" s="31">
        <f t="shared" si="153"/>
        <v>0</v>
      </c>
      <c r="H70" s="31">
        <f t="shared" si="153"/>
        <v>0</v>
      </c>
      <c r="I70" s="31">
        <f t="shared" si="153"/>
        <v>0</v>
      </c>
      <c r="J70" s="31">
        <f t="shared" si="153"/>
        <v>0</v>
      </c>
      <c r="K70" s="31">
        <f t="shared" si="153"/>
        <v>0</v>
      </c>
      <c r="L70" s="31">
        <f t="shared" si="153"/>
        <v>0</v>
      </c>
      <c r="M70" s="31">
        <f t="shared" si="153"/>
        <v>0</v>
      </c>
      <c r="N70" s="31">
        <f t="shared" si="153"/>
        <v>0</v>
      </c>
      <c r="O70" s="31">
        <f t="shared" si="153"/>
        <v>0</v>
      </c>
      <c r="P70" s="31">
        <f t="shared" si="153"/>
        <v>0</v>
      </c>
      <c r="Q70" s="31">
        <f t="shared" si="153"/>
        <v>0</v>
      </c>
      <c r="R70" s="31">
        <f t="shared" si="153"/>
        <v>0</v>
      </c>
      <c r="S70" s="31">
        <f aca="true" t="shared" si="154" ref="S70:AH70">+ET70</f>
        <v>125712</v>
      </c>
      <c r="T70" s="31">
        <f t="shared" si="154"/>
        <v>126856</v>
      </c>
      <c r="U70" s="31">
        <f t="shared" si="154"/>
        <v>129226</v>
      </c>
      <c r="V70" s="31">
        <f t="shared" si="154"/>
        <v>129226</v>
      </c>
      <c r="W70" s="31">
        <f t="shared" si="154"/>
        <v>129885</v>
      </c>
      <c r="X70" s="31">
        <f t="shared" si="154"/>
        <v>133083</v>
      </c>
      <c r="Y70" s="31">
        <f t="shared" si="154"/>
        <v>132998</v>
      </c>
      <c r="Z70" s="31">
        <f t="shared" si="154"/>
        <v>132998</v>
      </c>
      <c r="AA70" s="31">
        <f t="shared" si="154"/>
        <v>135845</v>
      </c>
      <c r="AB70" s="31">
        <f t="shared" si="154"/>
        <v>136698</v>
      </c>
      <c r="AC70" s="31">
        <f t="shared" si="154"/>
        <v>137385</v>
      </c>
      <c r="AD70" s="31">
        <f t="shared" si="154"/>
        <v>137385</v>
      </c>
      <c r="AE70" s="31">
        <f t="shared" si="154"/>
        <v>137462</v>
      </c>
      <c r="AF70" s="31">
        <f t="shared" si="154"/>
        <v>137001</v>
      </c>
      <c r="AG70" s="31">
        <f t="shared" si="154"/>
        <v>137714</v>
      </c>
      <c r="AH70" s="31">
        <f t="shared" si="154"/>
        <v>137714</v>
      </c>
      <c r="AI70" s="31">
        <f>+C70-S70</f>
        <v>11982</v>
      </c>
      <c r="AJ70" s="34">
        <f>+(AI70/S70)</f>
        <v>0.0953130966017564</v>
      </c>
      <c r="AK70" s="18"/>
      <c r="AL70" s="35" t="s">
        <v>39</v>
      </c>
      <c r="AM70" s="35" t="s">
        <v>39</v>
      </c>
      <c r="AN70" s="35" t="s">
        <v>39</v>
      </c>
      <c r="AO70" s="35" t="s">
        <v>39</v>
      </c>
      <c r="AP70" s="35" t="s">
        <v>39</v>
      </c>
      <c r="AQ70" s="35" t="s">
        <v>39</v>
      </c>
      <c r="AR70" s="35" t="s">
        <v>39</v>
      </c>
      <c r="AS70" s="35" t="s">
        <v>39</v>
      </c>
      <c r="AT70" s="35" t="s">
        <v>39</v>
      </c>
      <c r="AU70" s="35" t="s">
        <v>39</v>
      </c>
      <c r="AV70" s="35" t="s">
        <v>39</v>
      </c>
      <c r="AW70" s="35" t="s">
        <v>39</v>
      </c>
      <c r="AX70" s="35" t="s">
        <v>39</v>
      </c>
      <c r="AY70" s="35" t="s">
        <v>39</v>
      </c>
      <c r="AZ70" s="35" t="s">
        <v>39</v>
      </c>
      <c r="BA70" s="35" t="s">
        <v>39</v>
      </c>
      <c r="BB70" s="35" t="s">
        <v>39</v>
      </c>
      <c r="BC70" s="35" t="s">
        <v>39</v>
      </c>
      <c r="BD70" s="35" t="s">
        <v>39</v>
      </c>
      <c r="BE70" s="35" t="s">
        <v>39</v>
      </c>
      <c r="BF70" s="35" t="s">
        <v>39</v>
      </c>
      <c r="BG70" s="35" t="s">
        <v>39</v>
      </c>
      <c r="BH70" s="35" t="s">
        <v>39</v>
      </c>
      <c r="BI70" s="35" t="s">
        <v>39</v>
      </c>
      <c r="BJ70" s="35" t="s">
        <v>39</v>
      </c>
      <c r="BK70" s="35" t="s">
        <v>39</v>
      </c>
      <c r="BL70" s="31">
        <v>18448</v>
      </c>
      <c r="BM70" s="35">
        <f>+AVERAGE(BJ70:BL70)</f>
        <v>18448</v>
      </c>
      <c r="BN70" s="31">
        <v>18080</v>
      </c>
      <c r="BO70" s="31">
        <v>17880</v>
      </c>
      <c r="BP70" s="31">
        <v>17948</v>
      </c>
      <c r="BQ70" s="35">
        <f>+AVERAGE(BN70:BP70)</f>
        <v>17969.333333333332</v>
      </c>
      <c r="BR70" s="31">
        <v>17523</v>
      </c>
      <c r="BS70" s="31">
        <v>17900</v>
      </c>
      <c r="BT70" s="31">
        <v>18432</v>
      </c>
      <c r="BU70" s="35">
        <f>+AVERAGE(BR70:BT70)</f>
        <v>17951.666666666668</v>
      </c>
      <c r="BV70" s="31">
        <v>18431</v>
      </c>
      <c r="BW70" s="31">
        <v>18066</v>
      </c>
      <c r="BX70" s="31">
        <v>18133</v>
      </c>
      <c r="BY70" s="35">
        <f>+AVERAGE(BV70:BX70)</f>
        <v>18210</v>
      </c>
      <c r="BZ70" s="31">
        <v>18136</v>
      </c>
      <c r="CA70" s="31">
        <v>18101</v>
      </c>
      <c r="CB70" s="31">
        <v>18089</v>
      </c>
      <c r="CC70" s="35">
        <f>+AVERAGE(BZ70:CB70)</f>
        <v>18108.666666666668</v>
      </c>
      <c r="CD70" s="31">
        <v>18037</v>
      </c>
      <c r="CE70" s="31">
        <v>17774</v>
      </c>
      <c r="CF70" s="31">
        <v>17784</v>
      </c>
      <c r="CG70" s="35">
        <f>+AVERAGE(CD70:CF70)</f>
        <v>17865</v>
      </c>
      <c r="CH70" s="31">
        <v>17624</v>
      </c>
      <c r="CI70" s="31">
        <v>17433</v>
      </c>
      <c r="CJ70" s="31">
        <v>17875</v>
      </c>
      <c r="CK70" s="35">
        <f>+AVERAGE(CH70:CJ70)</f>
        <v>17644</v>
      </c>
      <c r="CL70" s="31">
        <v>17843</v>
      </c>
      <c r="CM70" s="31">
        <v>18002</v>
      </c>
      <c r="CN70" s="31">
        <v>18180</v>
      </c>
      <c r="CO70" s="35">
        <f>+AVERAGE(CL70:CN70)</f>
        <v>18008.333333333332</v>
      </c>
      <c r="CP70" s="31">
        <v>18430</v>
      </c>
      <c r="CQ70" s="31">
        <v>19259</v>
      </c>
      <c r="CR70" s="31">
        <v>19827</v>
      </c>
      <c r="CS70" s="35">
        <f>+AVERAGE(CP70:CR70)</f>
        <v>19172</v>
      </c>
      <c r="CT70" s="31">
        <v>20419</v>
      </c>
      <c r="CU70" s="31">
        <v>20555</v>
      </c>
      <c r="CV70" s="31">
        <v>26455</v>
      </c>
      <c r="CW70" s="35">
        <f>+AVERAGE(CT70:CV70)</f>
        <v>22476.333333333332</v>
      </c>
      <c r="CX70" s="31">
        <v>29838</v>
      </c>
      <c r="CY70" s="31">
        <v>30465</v>
      </c>
      <c r="CZ70" s="31">
        <v>35367</v>
      </c>
      <c r="DA70" s="35">
        <f>+AVERAGE(CX70:CZ70)</f>
        <v>31890</v>
      </c>
      <c r="DB70" s="31">
        <v>43300</v>
      </c>
      <c r="DC70" s="31">
        <v>53507</v>
      </c>
      <c r="DD70" s="31">
        <v>59365</v>
      </c>
      <c r="DE70" s="35">
        <f>+AVERAGE(DB70:DD70)</f>
        <v>52057.333333333336</v>
      </c>
      <c r="DF70" s="31">
        <v>64054</v>
      </c>
      <c r="DG70" s="31">
        <v>67938</v>
      </c>
      <c r="DH70" s="31">
        <v>70966</v>
      </c>
      <c r="DI70" s="35">
        <f>+AVERAGE(DF70:DH70)</f>
        <v>67652.66666666667</v>
      </c>
      <c r="DJ70" s="31">
        <v>78428</v>
      </c>
      <c r="DK70" s="31">
        <v>82433</v>
      </c>
      <c r="DL70" s="31">
        <v>85590</v>
      </c>
      <c r="DM70" s="35">
        <f>+AVERAGE(DJ70:DL70)</f>
        <v>82150.33333333333</v>
      </c>
      <c r="DN70" s="31">
        <v>86123</v>
      </c>
      <c r="DO70" s="31">
        <v>87529</v>
      </c>
      <c r="DP70" s="31">
        <v>90795</v>
      </c>
      <c r="DQ70" s="31">
        <f>+AVERAGE(DN70:DP70)</f>
        <v>88149</v>
      </c>
      <c r="DR70" s="31">
        <v>93224</v>
      </c>
      <c r="DS70" s="31">
        <v>96322</v>
      </c>
      <c r="DT70" s="31">
        <v>98958</v>
      </c>
      <c r="DU70" s="31">
        <f>+AVERAGE(DR70:DT70)</f>
        <v>96168</v>
      </c>
      <c r="DV70" s="31">
        <v>100945</v>
      </c>
      <c r="DW70" s="31">
        <v>102810</v>
      </c>
      <c r="DX70" s="31">
        <v>104272</v>
      </c>
      <c r="DY70" s="31">
        <f>+AVERAGE(DV70:DX70)</f>
        <v>102675.66666666667</v>
      </c>
      <c r="DZ70" s="31">
        <v>107095</v>
      </c>
      <c r="EA70" s="31">
        <v>108649</v>
      </c>
      <c r="EB70" s="31">
        <v>112418</v>
      </c>
      <c r="EC70" s="31">
        <f>+AVERAGE(DZ70:EB70)</f>
        <v>109387.33333333333</v>
      </c>
      <c r="ED70" s="31">
        <v>113001</v>
      </c>
      <c r="EE70" s="31">
        <v>115976</v>
      </c>
      <c r="EF70" s="31">
        <v>111515</v>
      </c>
      <c r="EG70" s="31">
        <f>+EF70</f>
        <v>111515</v>
      </c>
      <c r="EH70" s="31">
        <v>605</v>
      </c>
      <c r="EI70" s="31">
        <v>3916</v>
      </c>
      <c r="EJ70" s="31">
        <v>4474</v>
      </c>
      <c r="EK70" s="31">
        <f>+EJ70</f>
        <v>4474</v>
      </c>
      <c r="EL70" s="31">
        <v>117195</v>
      </c>
      <c r="EM70" s="31">
        <v>119543</v>
      </c>
      <c r="EN70" s="31">
        <v>122655</v>
      </c>
      <c r="EO70" s="31">
        <f>+EN70</f>
        <v>122655</v>
      </c>
      <c r="EP70" s="31">
        <v>126074</v>
      </c>
      <c r="EQ70" s="31">
        <v>124635</v>
      </c>
      <c r="ER70" s="31">
        <v>126775</v>
      </c>
      <c r="ES70" s="31">
        <f>+ER70</f>
        <v>126775</v>
      </c>
      <c r="ET70" s="31">
        <v>125712</v>
      </c>
      <c r="EU70" s="31">
        <v>126856</v>
      </c>
      <c r="EV70" s="31">
        <v>129226</v>
      </c>
      <c r="EW70" s="31">
        <f>+IF(EV70&lt;&gt;"",EV70,IF(EU70&lt;&gt;"",EU70,ET70))</f>
        <v>129226</v>
      </c>
      <c r="EX70" s="31">
        <v>129885</v>
      </c>
      <c r="EY70" s="31">
        <v>133083</v>
      </c>
      <c r="EZ70" s="31">
        <v>132998</v>
      </c>
      <c r="FA70" s="31">
        <f>+IF(EZ70&lt;&gt;"",EZ70,IF(EY70&lt;&gt;"",EY70,EX70))</f>
        <v>132998</v>
      </c>
      <c r="FB70" s="31">
        <v>135845</v>
      </c>
      <c r="FC70" s="31">
        <v>136698</v>
      </c>
      <c r="FD70" s="31">
        <v>137385</v>
      </c>
      <c r="FE70" s="31">
        <f>+IF(FD70&lt;&gt;"",FD70,IF(FC70&lt;&gt;"",FC70,FB70))</f>
        <v>137385</v>
      </c>
      <c r="FF70" s="35">
        <v>137462</v>
      </c>
      <c r="FG70" s="31">
        <v>137001</v>
      </c>
      <c r="FH70" s="31">
        <v>137714</v>
      </c>
      <c r="FI70" s="31">
        <f>+IF(FH70&lt;&gt;"",FH70,IF(FG70&lt;&gt;"",FG70,FF70))</f>
        <v>137714</v>
      </c>
      <c r="FJ70" s="31">
        <v>137694</v>
      </c>
      <c r="FK70" s="31"/>
      <c r="FL70" s="31"/>
      <c r="FM70" s="31">
        <f>+IF(FL70&lt;&gt;"",FL70,IF(FK70&lt;&gt;"",FK70,FJ70))</f>
        <v>137694</v>
      </c>
      <c r="FN70" s="31"/>
      <c r="FO70" s="31"/>
      <c r="FP70" s="31"/>
      <c r="FQ70" s="31">
        <f>+IF(FP70&lt;&gt;"",FP70,IF(FO70&lt;&gt;"",FO70,FN70))</f>
        <v>0</v>
      </c>
      <c r="FR70" s="31"/>
      <c r="FS70" s="31"/>
      <c r="FT70" s="31"/>
      <c r="FU70" s="31">
        <f>+IF(FT70&lt;&gt;"",FT70,IF(FS70&lt;&gt;"",FS70,FR70))</f>
        <v>0</v>
      </c>
      <c r="FV70" s="35"/>
      <c r="FW70" s="31"/>
      <c r="FX70" s="31"/>
      <c r="FY70" s="31">
        <f>+IF(FX70&lt;&gt;"",FX70,IF(FW70&lt;&gt;"",FW70,FV70))</f>
        <v>0</v>
      </c>
      <c r="FZ70" s="33"/>
      <c r="GA70" s="31" t="s">
        <v>39</v>
      </c>
      <c r="GB70" s="31">
        <f>+AVERAGE(BE70,BI70,BM70,BQ70)</f>
        <v>18208.666666666664</v>
      </c>
      <c r="GC70" s="31">
        <f>+AVERAGE(BU70,BY70,CC70,CG70)</f>
        <v>18033.833333333336</v>
      </c>
      <c r="GD70" s="31">
        <f>+AVERAGE(CK70,CO70,CS70,CW70)</f>
        <v>19325.166666666664</v>
      </c>
      <c r="GE70" s="31">
        <f>+AVERAGE(DA70,DE70,DI70,DM70)</f>
        <v>58437.58333333333</v>
      </c>
      <c r="GF70" s="31">
        <f>+AVERAGE(DQ70,DU70,DY70,EC70)</f>
        <v>99095</v>
      </c>
      <c r="GG70" s="31">
        <f>+ES70</f>
        <v>126775</v>
      </c>
      <c r="GH70" s="31">
        <f>+IF(FI70&lt;&gt;0,FI70,IF(FE70&lt;&gt;0,FE70,IF(FA70&lt;&gt;0,FA70,EW70)))</f>
        <v>137714</v>
      </c>
      <c r="GI70" s="31">
        <f>+IF(FY70&lt;&gt;0,FY70,IF(FU70&lt;&gt;0,FU70,IF(FQ70&lt;&gt;0,FQ70,FM70)))</f>
        <v>137694</v>
      </c>
      <c r="GJ70" s="33"/>
      <c r="GK70" s="33"/>
      <c r="GL70" s="33"/>
      <c r="GM70" s="33"/>
      <c r="GN70" s="33"/>
      <c r="GO70" s="33"/>
      <c r="GP70" s="33"/>
      <c r="GQ70" s="33"/>
      <c r="GR70" s="33"/>
      <c r="GS70" s="33"/>
      <c r="GT70" s="33"/>
      <c r="GU70" s="33"/>
      <c r="GV70" s="33"/>
      <c r="GW70" s="33"/>
    </row>
    <row r="71" spans="1:205" s="32" customFormat="1" ht="15" customHeight="1" outlineLevel="1">
      <c r="A71" s="21"/>
      <c r="B71" s="15"/>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5"/>
      <c r="AJ71" s="34"/>
      <c r="AK71" s="18"/>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3"/>
      <c r="GA71" s="31"/>
      <c r="GB71" s="31"/>
      <c r="GC71" s="31"/>
      <c r="GD71" s="31"/>
      <c r="GE71" s="31"/>
      <c r="GF71" s="31"/>
      <c r="GG71" s="31"/>
      <c r="GH71" s="31"/>
      <c r="GI71" s="31"/>
      <c r="GJ71" s="33"/>
      <c r="GK71" s="33"/>
      <c r="GL71" s="33"/>
      <c r="GM71" s="33"/>
      <c r="GN71" s="33"/>
      <c r="GO71" s="33"/>
      <c r="GP71" s="33"/>
      <c r="GQ71" s="33"/>
      <c r="GR71" s="33"/>
      <c r="GS71" s="33"/>
      <c r="GT71" s="33"/>
      <c r="GU71" s="33"/>
      <c r="GV71" s="33"/>
      <c r="GW71" s="33"/>
    </row>
    <row r="72" spans="1:205" s="32" customFormat="1" ht="15" customHeight="1" outlineLevel="1">
      <c r="A72" s="21"/>
      <c r="B72" s="15"/>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58"/>
      <c r="AJ72" s="34"/>
      <c r="AK72" s="1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78"/>
      <c r="FG72" s="58"/>
      <c r="FH72" s="58"/>
      <c r="FI72" s="58"/>
      <c r="FJ72" s="58"/>
      <c r="FK72" s="58"/>
      <c r="FL72" s="58"/>
      <c r="FM72" s="58"/>
      <c r="FN72" s="58"/>
      <c r="FO72" s="58"/>
      <c r="FP72" s="58"/>
      <c r="FQ72" s="58"/>
      <c r="FR72" s="58"/>
      <c r="FS72" s="58"/>
      <c r="FT72" s="58"/>
      <c r="FU72" s="58"/>
      <c r="FV72" s="78"/>
      <c r="FW72" s="58"/>
      <c r="FX72" s="58"/>
      <c r="FY72" s="58"/>
      <c r="FZ72" s="33"/>
      <c r="GA72" s="31"/>
      <c r="GB72" s="31"/>
      <c r="GC72" s="31"/>
      <c r="GD72" s="31"/>
      <c r="GE72" s="31"/>
      <c r="GF72" s="31"/>
      <c r="GG72" s="31"/>
      <c r="GH72" s="31"/>
      <c r="GI72" s="31"/>
      <c r="GJ72" s="33"/>
      <c r="GK72" s="33"/>
      <c r="GL72" s="33"/>
      <c r="GM72" s="33"/>
      <c r="GN72" s="33"/>
      <c r="GO72" s="33"/>
      <c r="GP72" s="33"/>
      <c r="GQ72" s="33"/>
      <c r="GR72" s="33"/>
      <c r="GS72" s="33"/>
      <c r="GT72" s="33"/>
      <c r="GU72" s="33"/>
      <c r="GV72" s="33"/>
      <c r="GW72" s="33"/>
    </row>
    <row r="73" spans="1:205" s="32" customFormat="1" ht="15" customHeight="1" outlineLevel="1">
      <c r="A73" s="21"/>
      <c r="B73" s="36" t="s">
        <v>45</v>
      </c>
      <c r="C73" s="35">
        <f aca="true" t="shared" si="155" ref="C73:R73">+FJ73</f>
        <v>7.386415158340059</v>
      </c>
      <c r="D73" s="35">
        <f t="shared" si="155"/>
        <v>0</v>
      </c>
      <c r="E73" s="35">
        <f t="shared" si="155"/>
        <v>0</v>
      </c>
      <c r="F73" s="35">
        <f t="shared" si="155"/>
        <v>7.386415158340059</v>
      </c>
      <c r="G73" s="35">
        <f t="shared" si="155"/>
        <v>0</v>
      </c>
      <c r="H73" s="35">
        <f t="shared" si="155"/>
        <v>0</v>
      </c>
      <c r="I73" s="35">
        <f t="shared" si="155"/>
        <v>0</v>
      </c>
      <c r="J73" s="35">
        <f t="shared" si="155"/>
        <v>0</v>
      </c>
      <c r="K73" s="35">
        <f t="shared" si="155"/>
        <v>0</v>
      </c>
      <c r="L73" s="35">
        <f t="shared" si="155"/>
        <v>0</v>
      </c>
      <c r="M73" s="35">
        <f t="shared" si="155"/>
        <v>0</v>
      </c>
      <c r="N73" s="35">
        <f t="shared" si="155"/>
        <v>0</v>
      </c>
      <c r="O73" s="35">
        <f t="shared" si="155"/>
        <v>0</v>
      </c>
      <c r="P73" s="35">
        <f t="shared" si="155"/>
        <v>0</v>
      </c>
      <c r="Q73" s="35">
        <f t="shared" si="155"/>
        <v>0</v>
      </c>
      <c r="R73" s="35">
        <f t="shared" si="155"/>
        <v>0</v>
      </c>
      <c r="S73" s="35">
        <f aca="true" t="shared" si="156" ref="S73:AH73">+ET73</f>
        <v>6.739687317661946</v>
      </c>
      <c r="T73" s="35">
        <f t="shared" si="156"/>
        <v>9.52287524049773</v>
      </c>
      <c r="U73" s="35">
        <f t="shared" si="156"/>
        <v>7.796920648058736</v>
      </c>
      <c r="V73" s="35">
        <f t="shared" si="156"/>
        <v>8.019827735406137</v>
      </c>
      <c r="W73" s="35">
        <f t="shared" si="156"/>
        <v>7.399315693165751</v>
      </c>
      <c r="X73" s="35">
        <f t="shared" si="156"/>
        <v>11.699410135432888</v>
      </c>
      <c r="Y73" s="35">
        <f t="shared" si="156"/>
        <v>7.34746007338012</v>
      </c>
      <c r="Z73" s="35">
        <f t="shared" si="156"/>
        <v>8.815395300659587</v>
      </c>
      <c r="AA73" s="35">
        <f t="shared" si="156"/>
        <v>15.854227845976872</v>
      </c>
      <c r="AB73" s="35">
        <f t="shared" si="156"/>
        <v>13.722355984826056</v>
      </c>
      <c r="AC73" s="35">
        <f t="shared" si="156"/>
        <v>13.45947237283828</v>
      </c>
      <c r="AD73" s="35">
        <f t="shared" si="156"/>
        <v>14.345352067880404</v>
      </c>
      <c r="AE73" s="35">
        <f t="shared" si="156"/>
        <v>8.9</v>
      </c>
      <c r="AF73" s="35">
        <f t="shared" si="156"/>
        <v>9.008922386711001</v>
      </c>
      <c r="AG73" s="35">
        <f t="shared" si="156"/>
        <v>8.687083553800969</v>
      </c>
      <c r="AH73" s="35">
        <f t="shared" si="156"/>
        <v>8.86533531350399</v>
      </c>
      <c r="AI73" s="75">
        <f>+C73-S73</f>
        <v>0.6467278406781132</v>
      </c>
      <c r="AJ73" s="34">
        <f>+(AI73/S73)</f>
        <v>0.09595813725412836</v>
      </c>
      <c r="AK73" s="18"/>
      <c r="AL73" s="75">
        <v>125.76299385660553</v>
      </c>
      <c r="AM73" s="75">
        <v>123.38118818511009</v>
      </c>
      <c r="AN73" s="75">
        <v>128.63980831010446</v>
      </c>
      <c r="AO73" s="75">
        <f>+AVERAGE(AL73:AN73)</f>
        <v>125.92799678394003</v>
      </c>
      <c r="AP73" s="75">
        <v>127.72432369718607</v>
      </c>
      <c r="AQ73" s="75">
        <v>133.74436602669218</v>
      </c>
      <c r="AR73" s="75">
        <v>131.04967675376673</v>
      </c>
      <c r="AS73" s="75">
        <f>+AVERAGE(AP73:AR73)</f>
        <v>130.83945549254832</v>
      </c>
      <c r="AT73" s="75">
        <v>137.90620663261063</v>
      </c>
      <c r="AU73" s="75">
        <v>134.044924429051</v>
      </c>
      <c r="AV73" s="75">
        <v>104.95388891574196</v>
      </c>
      <c r="AW73" s="75">
        <f>+AVERAGE(AT73:AV73)</f>
        <v>125.63500665913453</v>
      </c>
      <c r="AX73" s="75">
        <v>131.23157377793368</v>
      </c>
      <c r="AY73" s="75">
        <v>125.785234428633</v>
      </c>
      <c r="AZ73" s="75">
        <v>122.55739022645486</v>
      </c>
      <c r="BA73" s="75">
        <f>+AVERAGE(AX73:AZ73)</f>
        <v>126.52473281100718</v>
      </c>
      <c r="BB73" s="75">
        <v>115.59155905055883</v>
      </c>
      <c r="BC73" s="75">
        <v>108.50111138244509</v>
      </c>
      <c r="BD73" s="75">
        <v>120.17426054621313</v>
      </c>
      <c r="BE73" s="75">
        <f>+AVERAGE(BB73:BD73)</f>
        <v>114.75564365973901</v>
      </c>
      <c r="BF73" s="75">
        <v>116.58665588867068</v>
      </c>
      <c r="BG73" s="75">
        <v>136.3135369570113</v>
      </c>
      <c r="BH73" s="75">
        <v>113.29463731436363</v>
      </c>
      <c r="BI73" s="75">
        <f>+AVERAGE(BF73:BH73)</f>
        <v>122.06494338668188</v>
      </c>
      <c r="BJ73" s="75">
        <v>121.73788662029247</v>
      </c>
      <c r="BK73" s="75">
        <v>113.1460828734179</v>
      </c>
      <c r="BL73" s="75">
        <v>106.15687915047512</v>
      </c>
      <c r="BM73" s="75">
        <f>+AVERAGE(BJ73:BL73)</f>
        <v>113.68028288139516</v>
      </c>
      <c r="BN73" s="75">
        <v>119.72759643897076</v>
      </c>
      <c r="BO73" s="75">
        <v>116.69128257114865</v>
      </c>
      <c r="BP73" s="75">
        <v>109.2792512862533</v>
      </c>
      <c r="BQ73" s="75">
        <f>+AVERAGE(BN73:BP73)</f>
        <v>115.2327100987909</v>
      </c>
      <c r="BR73" s="75">
        <v>89.01789275977406</v>
      </c>
      <c r="BS73" s="75">
        <v>85.3386381229898</v>
      </c>
      <c r="BT73" s="75">
        <v>92.90869059495775</v>
      </c>
      <c r="BU73" s="75">
        <f>+AVERAGE(BR73:BT73)</f>
        <v>89.08840715924055</v>
      </c>
      <c r="BV73" s="75">
        <v>99.6389360537282</v>
      </c>
      <c r="BW73" s="75">
        <v>37.546819770800674</v>
      </c>
      <c r="BX73" s="75">
        <v>71.18436357472464</v>
      </c>
      <c r="BY73" s="75">
        <f>+AVERAGE(BV73:BX73)</f>
        <v>69.45670646641784</v>
      </c>
      <c r="BZ73" s="75">
        <v>90.08098255596089</v>
      </c>
      <c r="CA73" s="75">
        <v>83.44790608761798</v>
      </c>
      <c r="CB73" s="75">
        <v>77.93473731734527</v>
      </c>
      <c r="CC73" s="75">
        <f>+AVERAGE(BZ73:CB73)</f>
        <v>83.82120865364136</v>
      </c>
      <c r="CD73" s="75">
        <v>74.58589184004077</v>
      </c>
      <c r="CE73" s="75">
        <v>72.7696317490228</v>
      </c>
      <c r="CF73" s="75">
        <v>74.52575297893529</v>
      </c>
      <c r="CG73" s="75">
        <f>+AVERAGE(CD73:CF73)</f>
        <v>73.96042552266628</v>
      </c>
      <c r="CH73" s="75">
        <v>79.05449464304013</v>
      </c>
      <c r="CI73" s="75">
        <v>78.0029009177396</v>
      </c>
      <c r="CJ73" s="75">
        <v>92.81359737279921</v>
      </c>
      <c r="CK73" s="75">
        <f>+AVERAGE(CH73:CJ73)</f>
        <v>83.29033097785964</v>
      </c>
      <c r="CL73" s="75">
        <v>83.87140212950291</v>
      </c>
      <c r="CM73" s="75">
        <v>87.19901095835762</v>
      </c>
      <c r="CN73" s="75">
        <v>84.42</v>
      </c>
      <c r="CO73" s="75">
        <f>+AVERAGE(CL73:CN73)</f>
        <v>85.16347102928684</v>
      </c>
      <c r="CP73" s="75">
        <v>84.15</v>
      </c>
      <c r="CQ73" s="75">
        <v>79.91</v>
      </c>
      <c r="CR73" s="75">
        <v>74.6</v>
      </c>
      <c r="CS73" s="75">
        <f>+AVERAGE(CP73:CR73)</f>
        <v>79.55333333333333</v>
      </c>
      <c r="CT73" s="75">
        <v>79.22</v>
      </c>
      <c r="CU73" s="75">
        <v>77.73</v>
      </c>
      <c r="CV73" s="75">
        <v>81.63</v>
      </c>
      <c r="CW73" s="75">
        <f>+AVERAGE(CT73:CV73)</f>
        <v>79.52666666666666</v>
      </c>
      <c r="CX73" s="75">
        <v>72.98</v>
      </c>
      <c r="CY73" s="75">
        <v>67.85</v>
      </c>
      <c r="CZ73" s="75">
        <v>78.07</v>
      </c>
      <c r="DA73" s="75">
        <f>+AVERAGE(CX73:CZ73)</f>
        <v>72.96666666666665</v>
      </c>
      <c r="DB73" s="75">
        <v>78.29</v>
      </c>
      <c r="DC73" s="75">
        <v>80.82</v>
      </c>
      <c r="DD73" s="75">
        <v>80.58</v>
      </c>
      <c r="DE73" s="75">
        <f>+AVERAGE(DB73:DD73)</f>
        <v>79.89666666666666</v>
      </c>
      <c r="DF73" s="75">
        <v>75.47</v>
      </c>
      <c r="DG73" s="75">
        <v>71.71</v>
      </c>
      <c r="DH73" s="75">
        <v>83.42</v>
      </c>
      <c r="DI73" s="75">
        <f>+AVERAGE(DF73:DH73)</f>
        <v>76.86666666666667</v>
      </c>
      <c r="DJ73" s="75">
        <v>72.46</v>
      </c>
      <c r="DK73" s="75">
        <v>77.24</v>
      </c>
      <c r="DL73" s="75">
        <v>62.19</v>
      </c>
      <c r="DM73" s="75">
        <f>+AVERAGE(DJ73:DL73)</f>
        <v>70.63</v>
      </c>
      <c r="DN73" s="75">
        <v>56.868497108113175</v>
      </c>
      <c r="DO73" s="75">
        <v>58.24264599600769</v>
      </c>
      <c r="DP73" s="75">
        <v>64.86072001053103</v>
      </c>
      <c r="DQ73" s="75">
        <f>+AVERAGE(DN73:DP73)</f>
        <v>59.99062103821729</v>
      </c>
      <c r="DR73" s="75">
        <v>63.21777063780028</v>
      </c>
      <c r="DS73" s="75">
        <v>73.90027821672746</v>
      </c>
      <c r="DT73" s="75">
        <v>73.11351251777555</v>
      </c>
      <c r="DU73" s="75">
        <f>+AVERAGE(DR73:DT73)</f>
        <v>70.07718712410109</v>
      </c>
      <c r="DV73" s="75">
        <v>67.07866732479667</v>
      </c>
      <c r="DW73" s="75">
        <v>64.7819386196409</v>
      </c>
      <c r="DX73" s="75">
        <v>74.60284847922588</v>
      </c>
      <c r="DY73" s="75">
        <f>+AVERAGE(DV73:DX73)</f>
        <v>68.82115147455448</v>
      </c>
      <c r="DZ73" s="75">
        <v>55.35739469916837</v>
      </c>
      <c r="EA73" s="75">
        <v>58.63003193478918</v>
      </c>
      <c r="EB73" s="75">
        <v>50.54769157796836</v>
      </c>
      <c r="EC73" s="75">
        <f>+AVERAGE(DZ73:EB73)</f>
        <v>54.8450394039753</v>
      </c>
      <c r="ED73" s="75">
        <v>47.330997371051865</v>
      </c>
      <c r="EE73" s="75">
        <v>32.481713659238544</v>
      </c>
      <c r="EF73" s="75">
        <v>10.537258931493863</v>
      </c>
      <c r="EG73" s="75">
        <f>+AVERAGE(ED73:EF73)</f>
        <v>30.116656653928093</v>
      </c>
      <c r="EH73" s="75">
        <v>7.103206364191703</v>
      </c>
      <c r="EI73" s="75">
        <v>16.8281540528291</v>
      </c>
      <c r="EJ73" s="75">
        <v>28.06597578689445</v>
      </c>
      <c r="EK73" s="75">
        <f>+AVERAGE(EH73:EJ73)</f>
        <v>17.332445401305083</v>
      </c>
      <c r="EL73" s="75">
        <v>23.4243304822854</v>
      </c>
      <c r="EM73" s="75">
        <v>48.07844633466858</v>
      </c>
      <c r="EN73" s="75">
        <v>35.86012721941636</v>
      </c>
      <c r="EO73" s="75">
        <f>+AVERAGE(EL73:EN73)</f>
        <v>35.78763467879011</v>
      </c>
      <c r="EP73" s="75">
        <v>10.664397677286585</v>
      </c>
      <c r="EQ73" s="75">
        <v>8.430350664458917</v>
      </c>
      <c r="ER73" s="75">
        <v>6.269548978511791</v>
      </c>
      <c r="ES73" s="75">
        <f>+AVERAGE(EP73:ER73)</f>
        <v>8.454765773419098</v>
      </c>
      <c r="ET73" s="75">
        <v>6.739687317661946</v>
      </c>
      <c r="EU73" s="75">
        <v>9.52287524049773</v>
      </c>
      <c r="EV73" s="75">
        <v>7.796920648058736</v>
      </c>
      <c r="EW73" s="75">
        <f>+AVERAGE(ET73:EV73)</f>
        <v>8.019827735406137</v>
      </c>
      <c r="EX73" s="75">
        <v>7.399315693165751</v>
      </c>
      <c r="EY73" s="75">
        <v>11.699410135432888</v>
      </c>
      <c r="EZ73" s="75">
        <v>7.34746007338012</v>
      </c>
      <c r="FA73" s="75">
        <f>+_xlfn.IFERROR(AVERAGE(EX73:EZ73),0)</f>
        <v>8.815395300659587</v>
      </c>
      <c r="FB73" s="75">
        <v>15.854227845976872</v>
      </c>
      <c r="FC73" s="75">
        <v>13.722355984826056</v>
      </c>
      <c r="FD73" s="75">
        <v>13.45947237283828</v>
      </c>
      <c r="FE73" s="75">
        <f>+_xlfn.IFERROR(AVERAGE(FB73:FD73),0)</f>
        <v>14.345352067880404</v>
      </c>
      <c r="FF73" s="35">
        <v>8.9</v>
      </c>
      <c r="FG73" s="75">
        <v>9.008922386711001</v>
      </c>
      <c r="FH73" s="75">
        <v>8.687083553800969</v>
      </c>
      <c r="FI73" s="75">
        <f>+_xlfn.IFERROR(AVERAGE(FF73:FH73),0)</f>
        <v>8.86533531350399</v>
      </c>
      <c r="FJ73" s="75">
        <v>7.386415158340059</v>
      </c>
      <c r="FK73" s="75"/>
      <c r="FL73" s="75"/>
      <c r="FM73" s="75">
        <f>+AVERAGE(FJ73:FL73)</f>
        <v>7.386415158340059</v>
      </c>
      <c r="FN73" s="75"/>
      <c r="FO73" s="75"/>
      <c r="FP73" s="75"/>
      <c r="FQ73" s="75">
        <f>+_xlfn.IFERROR(AVERAGE(FN73:FP73),0)</f>
        <v>0</v>
      </c>
      <c r="FR73" s="75"/>
      <c r="FS73" s="75"/>
      <c r="FT73" s="75"/>
      <c r="FU73" s="75">
        <f>+_xlfn.IFERROR(AVERAGE(FR73:FT73),0)</f>
        <v>0</v>
      </c>
      <c r="FV73" s="35"/>
      <c r="FW73" s="75"/>
      <c r="FX73" s="75"/>
      <c r="FY73" s="75">
        <f>+_xlfn.IFERROR(AVERAGE(FV73:FX73),0)</f>
        <v>0</v>
      </c>
      <c r="FZ73" s="33"/>
      <c r="GA73" s="31">
        <f>+AVERAGE(AO73,AS73,AW73,BA73)</f>
        <v>127.23179793665753</v>
      </c>
      <c r="GB73" s="31">
        <f>+AVERAGE(BE73,BI73,BM73,BQ73)</f>
        <v>116.43339500665174</v>
      </c>
      <c r="GC73" s="31">
        <f>+AVERAGE(BU73,BY73,CC73,CG73)</f>
        <v>79.08168695049152</v>
      </c>
      <c r="GD73" s="31">
        <f>+AVERAGE(CK73,CO73,CS73,CW73)</f>
        <v>81.88345050178661</v>
      </c>
      <c r="GE73" s="31">
        <f>+AVERAGE(DA73,DE73,DI73,DM73)</f>
        <v>75.09</v>
      </c>
      <c r="GF73" s="31">
        <f>+AVERAGE(DQ73,DU73,DY73,EC73)</f>
        <v>63.433499760212044</v>
      </c>
      <c r="GG73" s="31">
        <f>+AVERAGE(EG73,EK73,EO73,ES73)</f>
        <v>22.922875626860595</v>
      </c>
      <c r="GH73" s="70">
        <f>+AVERAGE(ET73:EV73,EX73:EZ73,FB73:FD73,FF73:FH73)</f>
        <v>10.01147760436253</v>
      </c>
      <c r="GI73" s="70">
        <f>+AVERAGE(FJ73:FL73,FN73:FP73,FR73:FT73,FV73:FX73)</f>
        <v>7.386415158340059</v>
      </c>
      <c r="GJ73" s="33"/>
      <c r="GK73" s="33"/>
      <c r="GL73" s="33"/>
      <c r="GM73" s="33"/>
      <c r="GN73" s="33"/>
      <c r="GO73" s="33"/>
      <c r="GP73" s="33"/>
      <c r="GQ73" s="33"/>
      <c r="GR73" s="33"/>
      <c r="GS73" s="33"/>
      <c r="GT73" s="33"/>
      <c r="GU73" s="33"/>
      <c r="GV73" s="33"/>
      <c r="GW73" s="33"/>
    </row>
    <row r="74" spans="1:205" s="32" customFormat="1" ht="15" customHeight="1" outlineLevel="1">
      <c r="A74" s="21"/>
      <c r="B74" s="1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75"/>
      <c r="AJ74" s="34"/>
      <c r="AK74" s="18"/>
      <c r="AL74" s="79"/>
      <c r="AM74" s="79"/>
      <c r="AN74" s="79"/>
      <c r="AO74" s="75"/>
      <c r="AP74" s="79"/>
      <c r="AQ74" s="79"/>
      <c r="AR74" s="79"/>
      <c r="AS74" s="75"/>
      <c r="AT74" s="79"/>
      <c r="AU74" s="79"/>
      <c r="AV74" s="79"/>
      <c r="AW74" s="75"/>
      <c r="AX74" s="79"/>
      <c r="AY74" s="79"/>
      <c r="AZ74" s="79"/>
      <c r="BA74" s="75"/>
      <c r="BB74" s="79"/>
      <c r="BC74" s="79"/>
      <c r="BD74" s="79"/>
      <c r="BE74" s="75"/>
      <c r="BF74" s="79"/>
      <c r="BG74" s="79"/>
      <c r="BH74" s="79"/>
      <c r="BI74" s="75"/>
      <c r="BJ74" s="79"/>
      <c r="BK74" s="79"/>
      <c r="BL74" s="79"/>
      <c r="BM74" s="75"/>
      <c r="BN74" s="79"/>
      <c r="BO74" s="79"/>
      <c r="BP74" s="79"/>
      <c r="BQ74" s="75"/>
      <c r="BR74" s="79"/>
      <c r="BS74" s="79"/>
      <c r="BT74" s="79"/>
      <c r="BU74" s="75"/>
      <c r="BV74" s="79"/>
      <c r="BW74" s="79"/>
      <c r="BX74" s="79"/>
      <c r="BY74" s="75"/>
      <c r="BZ74" s="79"/>
      <c r="CA74" s="79"/>
      <c r="CB74" s="79"/>
      <c r="CC74" s="75"/>
      <c r="CD74" s="79"/>
      <c r="CE74" s="79"/>
      <c r="CF74" s="79"/>
      <c r="CG74" s="75"/>
      <c r="CH74" s="79"/>
      <c r="CI74" s="79"/>
      <c r="CJ74" s="79"/>
      <c r="CK74" s="75"/>
      <c r="CL74" s="79"/>
      <c r="CM74" s="79"/>
      <c r="CN74" s="79"/>
      <c r="CO74" s="75"/>
      <c r="CP74" s="79"/>
      <c r="CQ74" s="79"/>
      <c r="CR74" s="79"/>
      <c r="CS74" s="75"/>
      <c r="CT74" s="79"/>
      <c r="CU74" s="79"/>
      <c r="CV74" s="79"/>
      <c r="CW74" s="75"/>
      <c r="CX74" s="79"/>
      <c r="CY74" s="79"/>
      <c r="CZ74" s="79"/>
      <c r="DA74" s="75"/>
      <c r="DB74" s="79"/>
      <c r="DC74" s="79"/>
      <c r="DD74" s="79"/>
      <c r="DE74" s="75"/>
      <c r="DF74" s="79"/>
      <c r="DG74" s="79"/>
      <c r="DH74" s="79"/>
      <c r="DI74" s="75"/>
      <c r="DJ74" s="79"/>
      <c r="DK74" s="79"/>
      <c r="DL74" s="79"/>
      <c r="DM74" s="75"/>
      <c r="DN74" s="79"/>
      <c r="DO74" s="79"/>
      <c r="DP74" s="79"/>
      <c r="DQ74" s="75"/>
      <c r="DR74" s="79"/>
      <c r="DS74" s="79"/>
      <c r="DT74" s="79"/>
      <c r="DU74" s="75"/>
      <c r="DV74" s="79"/>
      <c r="DW74" s="79"/>
      <c r="DX74" s="79"/>
      <c r="DY74" s="75"/>
      <c r="DZ74" s="79"/>
      <c r="EA74" s="79"/>
      <c r="EB74" s="79"/>
      <c r="EC74" s="75"/>
      <c r="ED74" s="79"/>
      <c r="EE74" s="79"/>
      <c r="EF74" s="79"/>
      <c r="EG74" s="75"/>
      <c r="EH74" s="79"/>
      <c r="EI74" s="79"/>
      <c r="EJ74" s="79"/>
      <c r="EK74" s="75"/>
      <c r="EL74" s="79"/>
      <c r="EM74" s="79"/>
      <c r="EN74" s="79"/>
      <c r="EO74" s="75"/>
      <c r="EP74" s="79"/>
      <c r="EQ74" s="79"/>
      <c r="ER74" s="79"/>
      <c r="ES74" s="75"/>
      <c r="ET74" s="79"/>
      <c r="EU74" s="79"/>
      <c r="EV74" s="79"/>
      <c r="EW74" s="75"/>
      <c r="EX74" s="79"/>
      <c r="EY74" s="79"/>
      <c r="EZ74" s="79"/>
      <c r="FA74" s="75"/>
      <c r="FB74" s="79"/>
      <c r="FC74" s="79"/>
      <c r="FD74" s="79"/>
      <c r="FE74" s="75"/>
      <c r="FF74" s="80"/>
      <c r="FG74" s="79"/>
      <c r="FH74" s="79"/>
      <c r="FI74" s="75"/>
      <c r="FJ74" s="79"/>
      <c r="FK74" s="79"/>
      <c r="FL74" s="79"/>
      <c r="FM74" s="75"/>
      <c r="FN74" s="79"/>
      <c r="FO74" s="79"/>
      <c r="FP74" s="79"/>
      <c r="FQ74" s="75"/>
      <c r="FR74" s="79"/>
      <c r="FS74" s="79"/>
      <c r="FT74" s="79"/>
      <c r="FU74" s="75"/>
      <c r="FV74" s="80"/>
      <c r="FW74" s="79"/>
      <c r="FX74" s="79"/>
      <c r="FY74" s="75"/>
      <c r="FZ74" s="33"/>
      <c r="GA74" s="31"/>
      <c r="GB74" s="31"/>
      <c r="GC74" s="31"/>
      <c r="GD74" s="31"/>
      <c r="GE74" s="31"/>
      <c r="GF74" s="31"/>
      <c r="GG74" s="31"/>
      <c r="GH74" s="70"/>
      <c r="GI74" s="70"/>
      <c r="GJ74" s="33"/>
      <c r="GK74" s="33"/>
      <c r="GL74" s="33"/>
      <c r="GM74" s="33"/>
      <c r="GN74" s="33"/>
      <c r="GO74" s="33"/>
      <c r="GP74" s="33"/>
      <c r="GQ74" s="33"/>
      <c r="GR74" s="33"/>
      <c r="GS74" s="33"/>
      <c r="GT74" s="33"/>
      <c r="GU74" s="33"/>
      <c r="GV74" s="33"/>
      <c r="GW74" s="33"/>
    </row>
    <row r="75" spans="1:205" s="32" customFormat="1" ht="15" customHeight="1" outlineLevel="1">
      <c r="A75" s="21"/>
      <c r="B75" s="36" t="s">
        <v>28</v>
      </c>
      <c r="C75" s="35">
        <f aca="true" t="shared" si="157" ref="C75:R75">+FJ75</f>
        <v>7.151072490271636</v>
      </c>
      <c r="D75" s="35">
        <f t="shared" si="157"/>
        <v>0</v>
      </c>
      <c r="E75" s="35">
        <f t="shared" si="157"/>
        <v>0</v>
      </c>
      <c r="F75" s="35">
        <f t="shared" si="157"/>
        <v>7.151072490271636</v>
      </c>
      <c r="G75" s="35">
        <f t="shared" si="157"/>
        <v>0</v>
      </c>
      <c r="H75" s="35">
        <f t="shared" si="157"/>
        <v>0</v>
      </c>
      <c r="I75" s="35">
        <f t="shared" si="157"/>
        <v>0</v>
      </c>
      <c r="J75" s="35">
        <f t="shared" si="157"/>
        <v>0</v>
      </c>
      <c r="K75" s="35">
        <f t="shared" si="157"/>
        <v>0</v>
      </c>
      <c r="L75" s="35">
        <f t="shared" si="157"/>
        <v>0</v>
      </c>
      <c r="M75" s="35">
        <f t="shared" si="157"/>
        <v>0</v>
      </c>
      <c r="N75" s="35">
        <f t="shared" si="157"/>
        <v>0</v>
      </c>
      <c r="O75" s="35">
        <f t="shared" si="157"/>
        <v>0</v>
      </c>
      <c r="P75" s="35">
        <f t="shared" si="157"/>
        <v>0</v>
      </c>
      <c r="Q75" s="35">
        <f t="shared" si="157"/>
        <v>0</v>
      </c>
      <c r="R75" s="35">
        <f t="shared" si="157"/>
        <v>0</v>
      </c>
      <c r="S75" s="35">
        <f aca="true" t="shared" si="158" ref="S75:AH75">+ET75</f>
        <v>6.7686030256596155</v>
      </c>
      <c r="T75" s="35">
        <f t="shared" si="158"/>
        <v>9.834191038445233</v>
      </c>
      <c r="U75" s="35">
        <f t="shared" si="158"/>
        <v>7.606745977003945</v>
      </c>
      <c r="V75" s="35">
        <f t="shared" si="158"/>
        <v>8.069846680369599</v>
      </c>
      <c r="W75" s="35">
        <f t="shared" si="158"/>
        <v>8.12543877222169</v>
      </c>
      <c r="X75" s="35">
        <f t="shared" si="158"/>
        <v>10.044678794193521</v>
      </c>
      <c r="Y75" s="35">
        <f t="shared" si="158"/>
        <v>9.789671873016147</v>
      </c>
      <c r="Z75" s="35">
        <f t="shared" si="158"/>
        <v>9.319929813143785</v>
      </c>
      <c r="AA75" s="35">
        <f t="shared" si="158"/>
        <v>15.151248219992686</v>
      </c>
      <c r="AB75" s="35">
        <f t="shared" si="158"/>
        <v>15.234953718603967</v>
      </c>
      <c r="AC75" s="35">
        <f t="shared" si="158"/>
        <v>11.95235414234151</v>
      </c>
      <c r="AD75" s="35">
        <f t="shared" si="158"/>
        <v>14.112852026979388</v>
      </c>
      <c r="AE75" s="35">
        <f t="shared" si="158"/>
        <v>9.3</v>
      </c>
      <c r="AF75" s="35">
        <f t="shared" si="158"/>
        <v>7.569920791240442</v>
      </c>
      <c r="AG75" s="35">
        <f t="shared" si="158"/>
        <v>8.16676541504419</v>
      </c>
      <c r="AH75" s="35">
        <f t="shared" si="158"/>
        <v>8.345562068761545</v>
      </c>
      <c r="AI75" s="31">
        <f>+C75-S75</f>
        <v>0.38246946461202036</v>
      </c>
      <c r="AJ75" s="34">
        <f>+(AI75/S75)</f>
        <v>0.05650641102190328</v>
      </c>
      <c r="AK75" s="18"/>
      <c r="AL75" s="31">
        <v>34.64573928005587</v>
      </c>
      <c r="AM75" s="31">
        <v>32.46263990868667</v>
      </c>
      <c r="AN75" s="31">
        <v>34.95310965907167</v>
      </c>
      <c r="AO75" s="31">
        <f>+AVERAGE(AL75:AN75)</f>
        <v>34.02049628260473</v>
      </c>
      <c r="AP75" s="31">
        <v>39.00180388002794</v>
      </c>
      <c r="AQ75" s="31">
        <v>42.66014726956309</v>
      </c>
      <c r="AR75" s="31">
        <v>37.18457097947574</v>
      </c>
      <c r="AS75" s="31">
        <f>+AVERAGE(AP75:AR75)</f>
        <v>39.61550737635559</v>
      </c>
      <c r="AT75" s="31">
        <v>42.2480739471188</v>
      </c>
      <c r="AU75" s="31">
        <v>45.92315512688755</v>
      </c>
      <c r="AV75" s="31">
        <v>31.383085326023163</v>
      </c>
      <c r="AW75" s="31">
        <f>+AVERAGE(AT75:AV75)</f>
        <v>39.85143813334317</v>
      </c>
      <c r="AX75" s="31">
        <v>38.217559787879395</v>
      </c>
      <c r="AY75" s="31">
        <v>37.63556592612073</v>
      </c>
      <c r="AZ75" s="31">
        <v>32.60640839417454</v>
      </c>
      <c r="BA75" s="31">
        <f>+AVERAGE(AX75:AZ75)</f>
        <v>36.15317803605822</v>
      </c>
      <c r="BB75" s="31">
        <v>33.89486446554858</v>
      </c>
      <c r="BC75" s="31">
        <v>31.09837775265315</v>
      </c>
      <c r="BD75" s="31">
        <v>33.644016674643886</v>
      </c>
      <c r="BE75" s="31">
        <f>+AVERAGE(BB75:BD75)</f>
        <v>32.8790862976152</v>
      </c>
      <c r="BF75" s="31">
        <v>32.574822743796545</v>
      </c>
      <c r="BG75" s="31">
        <v>40.475503462575276</v>
      </c>
      <c r="BH75" s="31">
        <v>34.56403872715611</v>
      </c>
      <c r="BI75" s="31">
        <f>+AVERAGE(BF75:BH75)</f>
        <v>35.87145497784264</v>
      </c>
      <c r="BJ75" s="31">
        <v>39.42077711696251</v>
      </c>
      <c r="BK75" s="31">
        <v>40.044282101112685</v>
      </c>
      <c r="BL75" s="31">
        <v>33.784944279704106</v>
      </c>
      <c r="BM75" s="31">
        <f>+AVERAGE(BJ75:BL75)</f>
        <v>37.750001165926435</v>
      </c>
      <c r="BN75" s="31">
        <v>40.22832646600338</v>
      </c>
      <c r="BO75" s="31">
        <v>36.500631335040026</v>
      </c>
      <c r="BP75" s="31">
        <v>32.70080898504537</v>
      </c>
      <c r="BQ75" s="31">
        <f>+AVERAGE(BN75:BP75)</f>
        <v>36.47658892869626</v>
      </c>
      <c r="BR75" s="31">
        <v>30.182341665145888</v>
      </c>
      <c r="BS75" s="31">
        <v>27.84055900140615</v>
      </c>
      <c r="BT75" s="31">
        <v>29.36581980742571</v>
      </c>
      <c r="BU75" s="31">
        <f>+AVERAGE(BR75:BT75)</f>
        <v>29.129573491325914</v>
      </c>
      <c r="BV75" s="31">
        <v>33.533897602109064</v>
      </c>
      <c r="BW75" s="31">
        <v>25.178733331761325</v>
      </c>
      <c r="BX75" s="31">
        <v>31.569498233594956</v>
      </c>
      <c r="BY75" s="31">
        <f>+AVERAGE(BV75:BX75)</f>
        <v>30.094043055821782</v>
      </c>
      <c r="BZ75" s="31">
        <v>34.22450730722463</v>
      </c>
      <c r="CA75" s="31">
        <v>35.54227999657391</v>
      </c>
      <c r="CB75" s="31">
        <v>30.701509762430042</v>
      </c>
      <c r="CC75" s="31">
        <f>+AVERAGE(BZ75:CB75)</f>
        <v>33.48943235540953</v>
      </c>
      <c r="CD75" s="31">
        <v>35.130642027299366</v>
      </c>
      <c r="CE75" s="31">
        <v>30.012602139338455</v>
      </c>
      <c r="CF75" s="31">
        <v>27.083376362122326</v>
      </c>
      <c r="CG75" s="31">
        <f>+AVERAGE(CD75:CF75)</f>
        <v>30.74220684292005</v>
      </c>
      <c r="CH75" s="31">
        <v>27.788407298080564</v>
      </c>
      <c r="CI75" s="31">
        <v>27.66915090726537</v>
      </c>
      <c r="CJ75" s="31">
        <v>33.36894062459535</v>
      </c>
      <c r="CK75" s="31">
        <f>+AVERAGE(CH75:CJ75)</f>
        <v>29.60883294331376</v>
      </c>
      <c r="CL75" s="31">
        <v>32.22665258198077</v>
      </c>
      <c r="CM75" s="31">
        <v>32.44098707231728</v>
      </c>
      <c r="CN75" s="31">
        <v>31.57</v>
      </c>
      <c r="CO75" s="31">
        <f>+AVERAGE(CL75:CN75)</f>
        <v>32.07921321809935</v>
      </c>
      <c r="CP75" s="31">
        <v>31.71</v>
      </c>
      <c r="CQ75" s="31">
        <v>31.81</v>
      </c>
      <c r="CR75" s="31">
        <v>36.17</v>
      </c>
      <c r="CS75" s="31">
        <f>+AVERAGE(CP75:CR75)</f>
        <v>33.23</v>
      </c>
      <c r="CT75" s="31">
        <v>30.98</v>
      </c>
      <c r="CU75" s="31">
        <v>27.59</v>
      </c>
      <c r="CV75" s="31">
        <v>30.03</v>
      </c>
      <c r="CW75" s="31">
        <f>+AVERAGE(CT75:CV75)</f>
        <v>29.53333333333333</v>
      </c>
      <c r="CX75" s="31">
        <v>28.08</v>
      </c>
      <c r="CY75" s="31">
        <v>24.25</v>
      </c>
      <c r="CZ75" s="31">
        <v>27.83</v>
      </c>
      <c r="DA75" s="31">
        <f>+AVERAGE(CX75:CZ75)</f>
        <v>26.72</v>
      </c>
      <c r="DB75" s="31">
        <v>29.07</v>
      </c>
      <c r="DC75" s="31">
        <v>31.19</v>
      </c>
      <c r="DD75" s="31">
        <v>28.83</v>
      </c>
      <c r="DE75" s="31">
        <f>+AVERAGE(DB75:DD75)</f>
        <v>29.69666666666667</v>
      </c>
      <c r="DF75" s="31">
        <v>28.11</v>
      </c>
      <c r="DG75" s="31">
        <v>26.66</v>
      </c>
      <c r="DH75" s="31">
        <v>32.27</v>
      </c>
      <c r="DI75" s="31">
        <f>+AVERAGE(DF75:DH75)</f>
        <v>29.013333333333332</v>
      </c>
      <c r="DJ75" s="31">
        <v>24.74</v>
      </c>
      <c r="DK75" s="31">
        <v>28.56</v>
      </c>
      <c r="DL75" s="31">
        <v>21.01</v>
      </c>
      <c r="DM75" s="31">
        <f>+AVERAGE(DJ75:DL75)</f>
        <v>24.77</v>
      </c>
      <c r="DN75" s="31">
        <v>19.299801753391648</v>
      </c>
      <c r="DO75" s="31">
        <v>20.10205053218621</v>
      </c>
      <c r="DP75" s="31">
        <v>24.00975049451434</v>
      </c>
      <c r="DQ75" s="31">
        <f>+AVERAGE(DN75:DP75)</f>
        <v>21.1372009266974</v>
      </c>
      <c r="DR75" s="31">
        <v>21.798531535200567</v>
      </c>
      <c r="DS75" s="31">
        <v>25.978873636586492</v>
      </c>
      <c r="DT75" s="31">
        <v>26.345099916100544</v>
      </c>
      <c r="DU75" s="31">
        <f>+AVERAGE(DR75:DT75)</f>
        <v>24.707501695962534</v>
      </c>
      <c r="DV75" s="31">
        <v>26.462078016936374</v>
      </c>
      <c r="DW75" s="31">
        <v>24.388059209554275</v>
      </c>
      <c r="DX75" s="31">
        <v>29.673040827894255</v>
      </c>
      <c r="DY75" s="31">
        <f>+AVERAGE(DV75:DX75)</f>
        <v>26.841059351461634</v>
      </c>
      <c r="DZ75" s="31">
        <v>19.629774759346713</v>
      </c>
      <c r="EA75" s="31">
        <v>19.23270603882639</v>
      </c>
      <c r="EB75" s="31">
        <v>19.165443536165732</v>
      </c>
      <c r="EC75" s="70">
        <f>+AVERAGE(DZ75:EB75)</f>
        <v>19.342641444779613</v>
      </c>
      <c r="ED75" s="70">
        <v>17.835085595979887</v>
      </c>
      <c r="EE75" s="70">
        <v>16.175097796054313</v>
      </c>
      <c r="EF75" s="70">
        <v>9.712525980185557</v>
      </c>
      <c r="EG75" s="70">
        <f>+AVERAGE(ED75:EF75)</f>
        <v>14.574236457406585</v>
      </c>
      <c r="EH75" s="70">
        <v>12.278617204420508</v>
      </c>
      <c r="EI75" s="70">
        <v>16.99055547766718</v>
      </c>
      <c r="EJ75" s="70">
        <v>16.5386884524619</v>
      </c>
      <c r="EK75" s="70">
        <f>+AVERAGE(EH75:EJ75)</f>
        <v>15.269287044849861</v>
      </c>
      <c r="EL75" s="70">
        <v>22.18103841460384</v>
      </c>
      <c r="EM75" s="70">
        <v>27.360541571193867</v>
      </c>
      <c r="EN75" s="70">
        <v>19.77415424829734</v>
      </c>
      <c r="EO75" s="70">
        <f>+AVERAGE(EL75:EN75)</f>
        <v>23.10524474469835</v>
      </c>
      <c r="EP75" s="70">
        <v>12.534784446646078</v>
      </c>
      <c r="EQ75" s="70">
        <v>11.14662090657083</v>
      </c>
      <c r="ER75" s="70">
        <v>7.059144780527256</v>
      </c>
      <c r="ES75" s="70">
        <f>+AVERAGE(EP75:ER75)</f>
        <v>10.246850044581388</v>
      </c>
      <c r="ET75" s="70">
        <v>6.7686030256596155</v>
      </c>
      <c r="EU75" s="70">
        <v>9.834191038445233</v>
      </c>
      <c r="EV75" s="35">
        <v>7.606745977003945</v>
      </c>
      <c r="EW75" s="70">
        <f>+AVERAGE(ET75:EV75)</f>
        <v>8.069846680369599</v>
      </c>
      <c r="EX75" s="75">
        <v>8.12543877222169</v>
      </c>
      <c r="EY75" s="75">
        <v>10.044678794193521</v>
      </c>
      <c r="EZ75" s="75">
        <v>9.789671873016147</v>
      </c>
      <c r="FA75" s="35">
        <f>+_xlfn.IFERROR(AVERAGE(EX75:EZ75),0)</f>
        <v>9.319929813143785</v>
      </c>
      <c r="FB75" s="35">
        <v>15.151248219992686</v>
      </c>
      <c r="FC75" s="35">
        <v>15.234953718603967</v>
      </c>
      <c r="FD75" s="35">
        <v>11.95235414234151</v>
      </c>
      <c r="FE75" s="35">
        <f>+_xlfn.IFERROR(AVERAGE(FB75:FD75),0)</f>
        <v>14.112852026979388</v>
      </c>
      <c r="FF75" s="35">
        <v>9.3</v>
      </c>
      <c r="FG75" s="35">
        <v>7.569920791240442</v>
      </c>
      <c r="FH75" s="35">
        <v>8.16676541504419</v>
      </c>
      <c r="FI75" s="35">
        <f>+_xlfn.IFERROR(AVERAGE(FF75:FH75),0)</f>
        <v>8.345562068761545</v>
      </c>
      <c r="FJ75" s="70">
        <v>7.151072490271636</v>
      </c>
      <c r="FK75" s="70"/>
      <c r="FL75" s="35"/>
      <c r="FM75" s="70">
        <f>+AVERAGE(FJ75:FL75)</f>
        <v>7.151072490271636</v>
      </c>
      <c r="FN75" s="75"/>
      <c r="FO75" s="75"/>
      <c r="FP75" s="75"/>
      <c r="FQ75" s="35">
        <f>+_xlfn.IFERROR(AVERAGE(FN75:FP75),0)</f>
        <v>0</v>
      </c>
      <c r="FR75" s="35"/>
      <c r="FS75" s="35"/>
      <c r="FT75" s="35"/>
      <c r="FU75" s="35">
        <f>+_xlfn.IFERROR(AVERAGE(FR75:FT75),0)</f>
        <v>0</v>
      </c>
      <c r="FV75" s="35"/>
      <c r="FW75" s="35"/>
      <c r="FX75" s="35"/>
      <c r="FY75" s="35">
        <f>+_xlfn.IFERROR(AVERAGE(FV75:FX75),0)</f>
        <v>0</v>
      </c>
      <c r="FZ75" s="33"/>
      <c r="GA75" s="31">
        <f>+AVERAGE(AO75,AS75,AW75,BA75)</f>
        <v>37.41015495709043</v>
      </c>
      <c r="GB75" s="31">
        <f>+AVERAGE(BE75,BI75,BM75,BQ75)</f>
        <v>35.744282842520136</v>
      </c>
      <c r="GC75" s="31">
        <f>+AVERAGE(BU75,BY75,CC75,CG75)</f>
        <v>30.863813936369322</v>
      </c>
      <c r="GD75" s="31">
        <f>+AVERAGE(CK75,CO75,CS75,CW75)</f>
        <v>31.112844873686612</v>
      </c>
      <c r="GE75" s="31">
        <f>+AVERAGE(DA75,DE75,DI75,DM75)</f>
        <v>27.55</v>
      </c>
      <c r="GF75" s="31">
        <f>+AVERAGE(DQ75,DU75,DY75,EC75)</f>
        <v>23.007100854725298</v>
      </c>
      <c r="GG75" s="31">
        <f>+AVERAGE(EG75,EK75,EO75,ES75)</f>
        <v>15.798904572884046</v>
      </c>
      <c r="GH75" s="70">
        <f>+AVERAGE(ET75:EV75,EX75:EZ75,FB75:FD75,FF75:FH75)</f>
        <v>9.962047647313579</v>
      </c>
      <c r="GI75" s="70">
        <f>+AVERAGE(FJ75:FL75,FN75:FP75,FR75:FT75,FV75:FX75)</f>
        <v>7.151072490271636</v>
      </c>
      <c r="GJ75" s="33"/>
      <c r="GK75" s="33"/>
      <c r="GL75" s="33"/>
      <c r="GM75" s="33"/>
      <c r="GN75" s="33"/>
      <c r="GO75" s="33"/>
      <c r="GP75" s="33"/>
      <c r="GQ75" s="33"/>
      <c r="GR75" s="33"/>
      <c r="GS75" s="33"/>
      <c r="GT75" s="33"/>
      <c r="GU75" s="33"/>
      <c r="GV75" s="33"/>
      <c r="GW75" s="33"/>
    </row>
    <row r="76" spans="1:205" s="32" customFormat="1" ht="15" customHeight="1" outlineLevel="1">
      <c r="A76" s="21"/>
      <c r="B76" s="15"/>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4"/>
      <c r="AK76" s="18"/>
      <c r="AL76" s="31"/>
      <c r="AM76" s="31"/>
      <c r="AN76" s="31"/>
      <c r="AO76" s="31"/>
      <c r="AP76" s="31"/>
      <c r="AQ76" s="35"/>
      <c r="AR76" s="35"/>
      <c r="AS76" s="31"/>
      <c r="AT76" s="35"/>
      <c r="AU76" s="35"/>
      <c r="AV76" s="35"/>
      <c r="AW76" s="31"/>
      <c r="AX76" s="35"/>
      <c r="AY76" s="35"/>
      <c r="AZ76" s="35"/>
      <c r="BA76" s="31"/>
      <c r="BB76" s="35"/>
      <c r="BC76" s="35"/>
      <c r="BD76" s="35"/>
      <c r="BE76" s="31"/>
      <c r="BF76" s="35"/>
      <c r="BG76" s="35"/>
      <c r="BH76" s="35"/>
      <c r="BI76" s="31"/>
      <c r="BJ76" s="35"/>
      <c r="BK76" s="35"/>
      <c r="BL76" s="35"/>
      <c r="BM76" s="31"/>
      <c r="BN76" s="35"/>
      <c r="BO76" s="35"/>
      <c r="BP76" s="35"/>
      <c r="BQ76" s="31"/>
      <c r="BR76" s="35"/>
      <c r="BS76" s="35"/>
      <c r="BT76" s="35"/>
      <c r="BU76" s="31"/>
      <c r="BV76" s="35"/>
      <c r="BW76" s="35"/>
      <c r="BX76" s="35"/>
      <c r="BY76" s="31"/>
      <c r="BZ76" s="35"/>
      <c r="CA76" s="35"/>
      <c r="CB76" s="35"/>
      <c r="CC76" s="31"/>
      <c r="CD76" s="35"/>
      <c r="CE76" s="35"/>
      <c r="CF76" s="35"/>
      <c r="CG76" s="31"/>
      <c r="CH76" s="35"/>
      <c r="CI76" s="35"/>
      <c r="CJ76" s="35"/>
      <c r="CK76" s="31"/>
      <c r="CL76" s="35"/>
      <c r="CM76" s="35"/>
      <c r="CN76" s="35"/>
      <c r="CO76" s="31"/>
      <c r="CP76" s="35"/>
      <c r="CQ76" s="35"/>
      <c r="CR76" s="35"/>
      <c r="CS76" s="31"/>
      <c r="CT76" s="35"/>
      <c r="CU76" s="35"/>
      <c r="CV76" s="35"/>
      <c r="CW76" s="31"/>
      <c r="CX76" s="35"/>
      <c r="CY76" s="35"/>
      <c r="CZ76" s="35"/>
      <c r="DA76" s="31"/>
      <c r="DB76" s="35"/>
      <c r="DC76" s="35"/>
      <c r="DD76" s="35"/>
      <c r="DE76" s="31"/>
      <c r="DF76" s="35"/>
      <c r="DG76" s="35"/>
      <c r="DH76" s="35"/>
      <c r="DI76" s="31"/>
      <c r="DJ76" s="35"/>
      <c r="DK76" s="35"/>
      <c r="DL76" s="35"/>
      <c r="DM76" s="31"/>
      <c r="DN76" s="35"/>
      <c r="DO76" s="35"/>
      <c r="DP76" s="35"/>
      <c r="DQ76" s="31"/>
      <c r="DR76" s="35"/>
      <c r="DS76" s="35"/>
      <c r="DT76" s="35"/>
      <c r="DU76" s="31"/>
      <c r="DV76" s="35"/>
      <c r="DW76" s="35"/>
      <c r="DX76" s="35"/>
      <c r="DY76" s="31"/>
      <c r="DZ76" s="35"/>
      <c r="EA76" s="35"/>
      <c r="EB76" s="35"/>
      <c r="EC76" s="31"/>
      <c r="ED76" s="35"/>
      <c r="EE76" s="35"/>
      <c r="EF76" s="35"/>
      <c r="EG76" s="31"/>
      <c r="EH76" s="35"/>
      <c r="EI76" s="35"/>
      <c r="EJ76" s="35"/>
      <c r="EK76" s="31"/>
      <c r="EL76" s="35"/>
      <c r="EM76" s="35"/>
      <c r="EN76" s="35"/>
      <c r="EO76" s="31"/>
      <c r="EP76" s="35"/>
      <c r="EQ76" s="35"/>
      <c r="ER76" s="35"/>
      <c r="ES76" s="31"/>
      <c r="ET76" s="35"/>
      <c r="EU76" s="35"/>
      <c r="EV76" s="35"/>
      <c r="EW76" s="31"/>
      <c r="EX76" s="35"/>
      <c r="EY76" s="35"/>
      <c r="EZ76" s="35"/>
      <c r="FA76" s="31"/>
      <c r="FB76" s="35"/>
      <c r="FC76" s="35"/>
      <c r="FD76" s="35"/>
      <c r="FE76" s="31"/>
      <c r="FF76" s="35"/>
      <c r="FG76" s="35"/>
      <c r="FH76" s="35"/>
      <c r="FI76" s="31"/>
      <c r="FJ76" s="35"/>
      <c r="FK76" s="35"/>
      <c r="FL76" s="35"/>
      <c r="FM76" s="31"/>
      <c r="FN76" s="35"/>
      <c r="FO76" s="35"/>
      <c r="FP76" s="35"/>
      <c r="FQ76" s="31"/>
      <c r="FR76" s="35"/>
      <c r="FS76" s="35"/>
      <c r="FT76" s="35"/>
      <c r="FU76" s="31"/>
      <c r="FV76" s="35"/>
      <c r="FW76" s="35"/>
      <c r="FX76" s="35"/>
      <c r="FY76" s="31"/>
      <c r="FZ76" s="33"/>
      <c r="GA76" s="31"/>
      <c r="GB76" s="31"/>
      <c r="GC76" s="31"/>
      <c r="GD76" s="31"/>
      <c r="GE76" s="31"/>
      <c r="GF76" s="31"/>
      <c r="GG76" s="31"/>
      <c r="GH76" s="31"/>
      <c r="GI76" s="31"/>
      <c r="GJ76" s="33"/>
      <c r="GK76" s="33"/>
      <c r="GL76" s="33"/>
      <c r="GM76" s="33"/>
      <c r="GN76" s="33"/>
      <c r="GO76" s="33"/>
      <c r="GP76" s="33"/>
      <c r="GQ76" s="33"/>
      <c r="GR76" s="33"/>
      <c r="GS76" s="33"/>
      <c r="GT76" s="33"/>
      <c r="GU76" s="33"/>
      <c r="GV76" s="33"/>
      <c r="GW76" s="33"/>
    </row>
    <row r="77" spans="1:205" s="90" customFormat="1" ht="15" customHeight="1">
      <c r="A77" s="85"/>
      <c r="B77" s="86" t="s">
        <v>29</v>
      </c>
      <c r="C77" s="87">
        <f aca="true" t="shared" si="159" ref="C77:R77">+FJ77</f>
        <v>0.9897</v>
      </c>
      <c r="D77" s="87">
        <f t="shared" si="159"/>
        <v>0</v>
      </c>
      <c r="E77" s="87">
        <f t="shared" si="159"/>
        <v>0</v>
      </c>
      <c r="F77" s="87">
        <f t="shared" si="159"/>
        <v>0.9897</v>
      </c>
      <c r="G77" s="87">
        <f t="shared" si="159"/>
        <v>0</v>
      </c>
      <c r="H77" s="87">
        <f t="shared" si="159"/>
        <v>0</v>
      </c>
      <c r="I77" s="87">
        <f t="shared" si="159"/>
        <v>0</v>
      </c>
      <c r="J77" s="87">
        <f t="shared" si="159"/>
        <v>0</v>
      </c>
      <c r="K77" s="87">
        <f t="shared" si="159"/>
        <v>0</v>
      </c>
      <c r="L77" s="87">
        <f t="shared" si="159"/>
        <v>0</v>
      </c>
      <c r="M77" s="87">
        <f t="shared" si="159"/>
        <v>0</v>
      </c>
      <c r="N77" s="87">
        <f t="shared" si="159"/>
        <v>0</v>
      </c>
      <c r="O77" s="87">
        <f t="shared" si="159"/>
        <v>0</v>
      </c>
      <c r="P77" s="87">
        <f t="shared" si="159"/>
        <v>0</v>
      </c>
      <c r="Q77" s="87">
        <f t="shared" si="159"/>
        <v>0</v>
      </c>
      <c r="R77" s="87">
        <f t="shared" si="159"/>
        <v>0</v>
      </c>
      <c r="S77" s="87">
        <f aca="true" t="shared" si="160" ref="S77:AH77">+ET77</f>
        <v>0.988</v>
      </c>
      <c r="T77" s="87">
        <f t="shared" si="160"/>
        <v>0.9851</v>
      </c>
      <c r="U77" s="87">
        <f t="shared" si="160"/>
        <v>0.988</v>
      </c>
      <c r="V77" s="87">
        <f t="shared" si="160"/>
        <v>0.9870333333333333</v>
      </c>
      <c r="W77" s="87">
        <f t="shared" si="160"/>
        <v>0.9882</v>
      </c>
      <c r="X77" s="87">
        <f t="shared" si="160"/>
        <v>0.9846</v>
      </c>
      <c r="Y77" s="87">
        <f t="shared" si="160"/>
        <v>0.9894</v>
      </c>
      <c r="Z77" s="87">
        <f t="shared" si="160"/>
        <v>0.9873999999999999</v>
      </c>
      <c r="AA77" s="87">
        <f t="shared" si="160"/>
        <v>0.9769</v>
      </c>
      <c r="AB77" s="87">
        <f t="shared" si="160"/>
        <v>0.9793</v>
      </c>
      <c r="AC77" s="87">
        <f t="shared" si="160"/>
        <v>0.9815</v>
      </c>
      <c r="AD77" s="87">
        <f t="shared" si="160"/>
        <v>0.9792333333333333</v>
      </c>
      <c r="AE77" s="87">
        <f t="shared" si="160"/>
        <v>0.9873</v>
      </c>
      <c r="AF77" s="87">
        <f t="shared" si="160"/>
        <v>0.9876</v>
      </c>
      <c r="AG77" s="87">
        <f t="shared" si="160"/>
        <v>0.988</v>
      </c>
      <c r="AH77" s="87">
        <f t="shared" si="160"/>
        <v>0.9876333333333333</v>
      </c>
      <c r="AI77" s="88">
        <f>+C77-S77</f>
        <v>0.0017000000000000348</v>
      </c>
      <c r="AJ77" s="87">
        <f>+(AI77/S77)</f>
        <v>0.0017206477732793874</v>
      </c>
      <c r="AK77" s="89"/>
      <c r="AL77" s="88">
        <v>0.8246</v>
      </c>
      <c r="AM77" s="88">
        <v>0.8132</v>
      </c>
      <c r="AN77" s="88">
        <v>0.8218</v>
      </c>
      <c r="AO77" s="88">
        <f>+AVERAGE(AL77:AN77)</f>
        <v>0.8198666666666666</v>
      </c>
      <c r="AP77" s="88">
        <v>0.832</v>
      </c>
      <c r="AQ77" s="88">
        <v>0.8217</v>
      </c>
      <c r="AR77" s="88">
        <v>0.8259</v>
      </c>
      <c r="AS77" s="88">
        <f>+AVERAGE(AP77:AR77)</f>
        <v>0.8265333333333333</v>
      </c>
      <c r="AT77" s="88">
        <v>0.8211</v>
      </c>
      <c r="AU77" s="88">
        <v>0.8224</v>
      </c>
      <c r="AV77" s="88">
        <v>0.825</v>
      </c>
      <c r="AW77" s="88">
        <f>+AVERAGE(AT77:AV77)</f>
        <v>0.8228333333333332</v>
      </c>
      <c r="AX77" s="88">
        <v>0.8291</v>
      </c>
      <c r="AY77" s="88">
        <v>0.8273</v>
      </c>
      <c r="AZ77" s="88">
        <v>0.8404</v>
      </c>
      <c r="BA77" s="88">
        <f>+AVERAGE(AX77:AZ77)</f>
        <v>0.8322666666666668</v>
      </c>
      <c r="BB77" s="88">
        <v>0.8372</v>
      </c>
      <c r="BC77" s="88">
        <v>0.8356</v>
      </c>
      <c r="BD77" s="88">
        <v>0.8414</v>
      </c>
      <c r="BE77" s="88">
        <f>+AVERAGE(BB77:BD77)</f>
        <v>0.8380666666666667</v>
      </c>
      <c r="BF77" s="88">
        <v>0.8433</v>
      </c>
      <c r="BG77" s="88">
        <v>0.826</v>
      </c>
      <c r="BH77" s="88">
        <v>0.8505</v>
      </c>
      <c r="BI77" s="88">
        <f>+AVERAGE(BF77:BH77)</f>
        <v>0.8399333333333333</v>
      </c>
      <c r="BJ77" s="88">
        <v>0.8513</v>
      </c>
      <c r="BK77" s="88">
        <v>0.8514</v>
      </c>
      <c r="BL77" s="88">
        <v>0.85</v>
      </c>
      <c r="BM77" s="88">
        <f>+AVERAGE(BJ77:BL77)</f>
        <v>0.8509000000000001</v>
      </c>
      <c r="BN77" s="88">
        <v>0.8535</v>
      </c>
      <c r="BO77" s="88">
        <v>0.8454</v>
      </c>
      <c r="BP77" s="88">
        <v>0.8046</v>
      </c>
      <c r="BQ77" s="88">
        <f>+AVERAGE(BN77:BP77)</f>
        <v>0.8344999999999999</v>
      </c>
      <c r="BR77" s="88">
        <v>0.8406</v>
      </c>
      <c r="BS77" s="88">
        <v>0.8452</v>
      </c>
      <c r="BT77" s="88">
        <v>0.8403</v>
      </c>
      <c r="BU77" s="88">
        <f>+AVERAGE(BR77:BT77)</f>
        <v>0.8420333333333333</v>
      </c>
      <c r="BV77" s="88">
        <v>0.8397</v>
      </c>
      <c r="BW77" s="88">
        <v>0.9381</v>
      </c>
      <c r="BX77" s="88">
        <v>0.9039</v>
      </c>
      <c r="BY77" s="88">
        <f>+AVERAGE(BV77:BX77)</f>
        <v>0.8939</v>
      </c>
      <c r="BZ77" s="88">
        <v>0.8676</v>
      </c>
      <c r="CA77" s="88">
        <v>0.8653</v>
      </c>
      <c r="CB77" s="88">
        <v>0.8677</v>
      </c>
      <c r="CC77" s="88">
        <f>+AVERAGE(BZ77:CB77)</f>
        <v>0.8668666666666667</v>
      </c>
      <c r="CD77" s="88">
        <v>0.865</v>
      </c>
      <c r="CE77" s="88">
        <v>0.8597</v>
      </c>
      <c r="CF77" s="88">
        <v>0.8674</v>
      </c>
      <c r="CG77" s="88">
        <f>+AVERAGE(CD77:CF77)</f>
        <v>0.8640333333333333</v>
      </c>
      <c r="CH77" s="88">
        <v>0.8472</v>
      </c>
      <c r="CI77" s="88">
        <v>0.8377</v>
      </c>
      <c r="CJ77" s="88">
        <v>0.8203</v>
      </c>
      <c r="CK77" s="88">
        <f>+AVERAGE(CH77:CJ77)</f>
        <v>0.8350666666666666</v>
      </c>
      <c r="CL77" s="88">
        <v>0.8311</v>
      </c>
      <c r="CM77" s="88">
        <v>0.8356</v>
      </c>
      <c r="CN77" s="88">
        <v>0.838</v>
      </c>
      <c r="CO77" s="88">
        <f>+AVERAGE(CL77:CN77)</f>
        <v>0.8349000000000001</v>
      </c>
      <c r="CP77" s="88">
        <v>0.8398</v>
      </c>
      <c r="CQ77" s="88">
        <v>0.8422</v>
      </c>
      <c r="CR77" s="88">
        <v>0.8425</v>
      </c>
      <c r="CS77" s="88">
        <f>+AVERAGE(CP77:CR77)</f>
        <v>0.8414999999999999</v>
      </c>
      <c r="CT77" s="88">
        <v>0.8418</v>
      </c>
      <c r="CU77" s="88">
        <v>0.8367</v>
      </c>
      <c r="CV77" s="88">
        <v>0.8356</v>
      </c>
      <c r="CW77" s="88">
        <f>+AVERAGE(CT77:CV77)</f>
        <v>0.8380333333333333</v>
      </c>
      <c r="CX77" s="88">
        <v>0.8464</v>
      </c>
      <c r="CY77" s="88">
        <v>0.8369</v>
      </c>
      <c r="CZ77" s="88">
        <v>0.8434</v>
      </c>
      <c r="DA77" s="88">
        <f>+AVERAGE(CX77:CZ77)</f>
        <v>0.8422333333333333</v>
      </c>
      <c r="DB77" s="88">
        <v>0.8354</v>
      </c>
      <c r="DC77" s="88">
        <v>0.8333</v>
      </c>
      <c r="DD77" s="88">
        <v>0.8331</v>
      </c>
      <c r="DE77" s="88">
        <f>+AVERAGE(DB77:DD77)</f>
        <v>0.8339333333333334</v>
      </c>
      <c r="DF77" s="88">
        <v>0.8372</v>
      </c>
      <c r="DG77" s="88">
        <v>0.8334</v>
      </c>
      <c r="DH77" s="88">
        <v>0.8239</v>
      </c>
      <c r="DI77" s="88">
        <f>+AVERAGE(DF77:DH77)</f>
        <v>0.8315</v>
      </c>
      <c r="DJ77" s="88">
        <v>0.8414</v>
      </c>
      <c r="DK77" s="88">
        <v>0.8431</v>
      </c>
      <c r="DL77" s="88">
        <v>0.8592</v>
      </c>
      <c r="DM77" s="88">
        <f>+AVERAGE(DJ77:DL77)</f>
        <v>0.8479</v>
      </c>
      <c r="DN77" s="88">
        <v>0.8605</v>
      </c>
      <c r="DO77" s="88">
        <v>0.8536</v>
      </c>
      <c r="DP77" s="88">
        <v>0.8521</v>
      </c>
      <c r="DQ77" s="88">
        <f>+AVERAGE(DN77:DP77)</f>
        <v>0.8554</v>
      </c>
      <c r="DR77" s="88">
        <v>0.8541</v>
      </c>
      <c r="DS77" s="88">
        <v>0.8404</v>
      </c>
      <c r="DT77" s="88">
        <v>0.8425</v>
      </c>
      <c r="DU77" s="88">
        <f>+AVERAGE(DR77:DT77)</f>
        <v>0.8456666666666667</v>
      </c>
      <c r="DV77" s="88">
        <v>0.8498</v>
      </c>
      <c r="DW77" s="88">
        <v>0.8609</v>
      </c>
      <c r="DX77" s="88">
        <v>0.8506</v>
      </c>
      <c r="DY77" s="88">
        <f>+AVERAGE(DV77:DX77)</f>
        <v>0.8537666666666667</v>
      </c>
      <c r="DZ77" s="88">
        <v>0.8844</v>
      </c>
      <c r="EA77" s="88">
        <v>0.8929</v>
      </c>
      <c r="EB77" s="88">
        <v>0.9044</v>
      </c>
      <c r="EC77" s="88">
        <f>+AVERAGE(DZ77:EB77)</f>
        <v>0.8938999999999999</v>
      </c>
      <c r="ED77" s="88">
        <v>0.903</v>
      </c>
      <c r="EE77" s="88">
        <v>0.9364</v>
      </c>
      <c r="EF77" s="88">
        <v>0.9802</v>
      </c>
      <c r="EG77" s="88">
        <f>+AVERAGE(ED77:EF77)</f>
        <v>0.9398666666666666</v>
      </c>
      <c r="EH77" s="88">
        <v>0.9883</v>
      </c>
      <c r="EI77" s="88">
        <v>0.9739</v>
      </c>
      <c r="EJ77" s="88">
        <v>0.9601</v>
      </c>
      <c r="EK77" s="88">
        <f>+AVERAGE(EH77:EJ77)</f>
        <v>0.9741</v>
      </c>
      <c r="EL77" s="88">
        <v>0.9664</v>
      </c>
      <c r="EM77" s="88">
        <v>0.9366</v>
      </c>
      <c r="EN77" s="88">
        <v>0.95</v>
      </c>
      <c r="EO77" s="88">
        <f>+AVERAGE(EL77:EN77)</f>
        <v>0.951</v>
      </c>
      <c r="EP77" s="88">
        <v>0.9852</v>
      </c>
      <c r="EQ77" s="88">
        <v>0.986</v>
      </c>
      <c r="ER77" s="88">
        <v>0.9896</v>
      </c>
      <c r="ES77" s="88">
        <f>+AVERAGE(EP77:ER77)</f>
        <v>0.9869333333333333</v>
      </c>
      <c r="ET77" s="88">
        <v>0.988</v>
      </c>
      <c r="EU77" s="88">
        <v>0.9851</v>
      </c>
      <c r="EV77" s="88">
        <v>0.988</v>
      </c>
      <c r="EW77" s="88">
        <f>+AVERAGE(ET77:EV77)</f>
        <v>0.9870333333333333</v>
      </c>
      <c r="EX77" s="88">
        <v>0.9882</v>
      </c>
      <c r="EY77" s="88">
        <v>0.9846</v>
      </c>
      <c r="EZ77" s="88">
        <v>0.9894</v>
      </c>
      <c r="FA77" s="88">
        <f>+_xlfn.IFERROR(AVERAGE(EX77:EZ77),0)</f>
        <v>0.9873999999999999</v>
      </c>
      <c r="FB77" s="88">
        <v>0.9769</v>
      </c>
      <c r="FC77" s="88">
        <v>0.9793</v>
      </c>
      <c r="FD77" s="88">
        <v>0.9815</v>
      </c>
      <c r="FE77" s="88">
        <f>+_xlfn.IFERROR(AVERAGE(FB77:FD77),0)</f>
        <v>0.9792333333333333</v>
      </c>
      <c r="FF77" s="88">
        <v>0.9873</v>
      </c>
      <c r="FG77" s="88">
        <v>0.9876</v>
      </c>
      <c r="FH77" s="88">
        <v>0.988</v>
      </c>
      <c r="FI77" s="88">
        <f>+_xlfn.IFERROR(AVERAGE(FF77:FH77),0)</f>
        <v>0.9876333333333333</v>
      </c>
      <c r="FJ77" s="88">
        <v>0.9897</v>
      </c>
      <c r="FK77" s="88"/>
      <c r="FL77" s="88"/>
      <c r="FM77" s="88">
        <f>+AVERAGE(FJ77:FL77)</f>
        <v>0.9897</v>
      </c>
      <c r="FN77" s="88"/>
      <c r="FO77" s="88"/>
      <c r="FP77" s="88"/>
      <c r="FQ77" s="88">
        <f>+_xlfn.IFERROR(AVERAGE(FN77:FP77),0)</f>
        <v>0</v>
      </c>
      <c r="FR77" s="88"/>
      <c r="FS77" s="88"/>
      <c r="FT77" s="88"/>
      <c r="FU77" s="88">
        <f>+_xlfn.IFERROR(AVERAGE(FR77:FT77),0)</f>
        <v>0</v>
      </c>
      <c r="FV77" s="88"/>
      <c r="FW77" s="88"/>
      <c r="FX77" s="88"/>
      <c r="FY77" s="88">
        <f>+_xlfn.IFERROR(AVERAGE(FV77:FX77),0)</f>
        <v>0</v>
      </c>
      <c r="FZ77" s="88"/>
      <c r="GA77" s="87">
        <f>+AVERAGE(AO77,AS77,AW77,BA77)</f>
        <v>0.825375</v>
      </c>
      <c r="GB77" s="87">
        <f>+AVERAGE(BE77,BI77,BM77,BQ77)</f>
        <v>0.84085</v>
      </c>
      <c r="GC77" s="87">
        <f>+AVERAGE(BU77,BY77,CC77,CG77)</f>
        <v>0.8667083333333334</v>
      </c>
      <c r="GD77" s="87">
        <f>+AVERAGE(CK77,CO77,CS77,CW77)</f>
        <v>0.837375</v>
      </c>
      <c r="GE77" s="87">
        <f>+AVERAGE(DA77,DE77,DI77,DM77)</f>
        <v>0.8388916666666667</v>
      </c>
      <c r="GF77" s="87">
        <f>+AVERAGE(DQ77,DU77,DY77,EC77)</f>
        <v>0.8621833333333333</v>
      </c>
      <c r="GG77" s="87">
        <f>+ES77</f>
        <v>0.9869333333333333</v>
      </c>
      <c r="GH77" s="87">
        <f>+AVERAGE(ET77:EV77,EX77:EZ77,FB77:FD77,FF77:FH77)</f>
        <v>0.985325</v>
      </c>
      <c r="GI77" s="87">
        <f>+AVERAGE(FJ77:FL77,FN77:FP77,FR77:FT77,FV77:FX77)</f>
        <v>0.9897</v>
      </c>
      <c r="GJ77" s="88"/>
      <c r="GK77" s="88"/>
      <c r="GL77" s="88"/>
      <c r="GM77" s="88"/>
      <c r="GN77" s="88"/>
      <c r="GO77" s="88"/>
      <c r="GP77" s="88"/>
      <c r="GQ77" s="88"/>
      <c r="GR77" s="88"/>
      <c r="GS77" s="88"/>
      <c r="GT77" s="88"/>
      <c r="GU77" s="88"/>
      <c r="GV77" s="88"/>
      <c r="GW77" s="88"/>
    </row>
    <row r="78" spans="1:205" s="32" customFormat="1" ht="15" customHeight="1" outlineLevel="1">
      <c r="A78" s="21"/>
      <c r="B78" s="15"/>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5"/>
      <c r="AJ78" s="34"/>
      <c r="AK78" s="18"/>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3"/>
      <c r="GA78" s="34"/>
      <c r="GB78" s="34"/>
      <c r="GC78" s="34"/>
      <c r="GD78" s="34"/>
      <c r="GE78" s="34"/>
      <c r="GF78" s="34"/>
      <c r="GG78" s="34"/>
      <c r="GH78" s="34"/>
      <c r="GI78" s="34"/>
      <c r="GJ78" s="33"/>
      <c r="GK78" s="33"/>
      <c r="GL78" s="33"/>
      <c r="GM78" s="33"/>
      <c r="GN78" s="33"/>
      <c r="GO78" s="33"/>
      <c r="GP78" s="33"/>
      <c r="GQ78" s="33"/>
      <c r="GR78" s="33"/>
      <c r="GS78" s="33"/>
      <c r="GT78" s="33"/>
      <c r="GU78" s="33"/>
      <c r="GV78" s="33"/>
      <c r="GW78" s="33"/>
    </row>
    <row r="79" spans="1:205" s="32" customFormat="1" ht="15" customHeight="1">
      <c r="A79" s="21"/>
      <c r="B79" s="36" t="s">
        <v>80</v>
      </c>
      <c r="C79" s="31">
        <f aca="true" t="shared" si="161" ref="C79:R79">+FJ79</f>
        <v>2936</v>
      </c>
      <c r="D79" s="31">
        <f t="shared" si="161"/>
        <v>0</v>
      </c>
      <c r="E79" s="31">
        <f t="shared" si="161"/>
        <v>0</v>
      </c>
      <c r="F79" s="31">
        <f t="shared" si="161"/>
        <v>2936</v>
      </c>
      <c r="G79" s="31">
        <f t="shared" si="161"/>
        <v>0</v>
      </c>
      <c r="H79" s="31">
        <f t="shared" si="161"/>
        <v>0</v>
      </c>
      <c r="I79" s="31">
        <f t="shared" si="161"/>
        <v>0</v>
      </c>
      <c r="J79" s="31">
        <f t="shared" si="161"/>
        <v>0</v>
      </c>
      <c r="K79" s="31">
        <f t="shared" si="161"/>
        <v>0</v>
      </c>
      <c r="L79" s="31">
        <f t="shared" si="161"/>
        <v>0</v>
      </c>
      <c r="M79" s="31">
        <f t="shared" si="161"/>
        <v>0</v>
      </c>
      <c r="N79" s="31">
        <f t="shared" si="161"/>
        <v>0</v>
      </c>
      <c r="O79" s="31">
        <f t="shared" si="161"/>
        <v>0</v>
      </c>
      <c r="P79" s="31">
        <f t="shared" si="161"/>
        <v>0</v>
      </c>
      <c r="Q79" s="31">
        <f t="shared" si="161"/>
        <v>0</v>
      </c>
      <c r="R79" s="31">
        <f t="shared" si="161"/>
        <v>0</v>
      </c>
      <c r="S79" s="31">
        <f aca="true" t="shared" si="162" ref="S79:AH79">+ET79</f>
        <v>3161</v>
      </c>
      <c r="T79" s="31">
        <f t="shared" si="162"/>
        <v>3192</v>
      </c>
      <c r="U79" s="31">
        <f t="shared" si="162"/>
        <v>3189</v>
      </c>
      <c r="V79" s="31">
        <f t="shared" si="162"/>
        <v>3189</v>
      </c>
      <c r="W79" s="31">
        <f t="shared" si="162"/>
        <v>3187</v>
      </c>
      <c r="X79" s="31">
        <f t="shared" si="162"/>
        <v>2984</v>
      </c>
      <c r="Y79" s="31">
        <f t="shared" si="162"/>
        <v>2982</v>
      </c>
      <c r="Z79" s="31">
        <f t="shared" si="162"/>
        <v>2982</v>
      </c>
      <c r="AA79" s="31">
        <f t="shared" si="162"/>
        <v>2969</v>
      </c>
      <c r="AB79" s="31">
        <f t="shared" si="162"/>
        <v>2966</v>
      </c>
      <c r="AC79" s="31">
        <f t="shared" si="162"/>
        <v>2962</v>
      </c>
      <c r="AD79" s="31">
        <f t="shared" si="162"/>
        <v>2962</v>
      </c>
      <c r="AE79" s="31">
        <f t="shared" si="162"/>
        <v>2867</v>
      </c>
      <c r="AF79" s="31">
        <f t="shared" si="162"/>
        <v>2863</v>
      </c>
      <c r="AG79" s="31">
        <f t="shared" si="162"/>
        <v>2930</v>
      </c>
      <c r="AH79" s="31">
        <f t="shared" si="162"/>
        <v>2930</v>
      </c>
      <c r="AI79" s="31">
        <f>+C79-S79</f>
        <v>-225</v>
      </c>
      <c r="AJ79" s="34">
        <f>+(AI79/S79)</f>
        <v>-0.07118000632711168</v>
      </c>
      <c r="AK79" s="18"/>
      <c r="AL79" s="31">
        <v>2003</v>
      </c>
      <c r="AM79" s="31">
        <v>1997</v>
      </c>
      <c r="AN79" s="31">
        <v>2014</v>
      </c>
      <c r="AO79" s="31">
        <f>+AVERAGE(AL79:AN79)</f>
        <v>2004.6666666666667</v>
      </c>
      <c r="AP79" s="31">
        <v>2046</v>
      </c>
      <c r="AQ79" s="31">
        <v>2061</v>
      </c>
      <c r="AR79" s="31">
        <v>2076</v>
      </c>
      <c r="AS79" s="31">
        <f>+AVERAGE(AP79:AR79)</f>
        <v>2061</v>
      </c>
      <c r="AT79" s="31">
        <v>2124</v>
      </c>
      <c r="AU79" s="31">
        <v>2174</v>
      </c>
      <c r="AV79" s="31">
        <v>2207</v>
      </c>
      <c r="AW79" s="31">
        <f>+AVERAGE(AT79:AV79)</f>
        <v>2168.3333333333335</v>
      </c>
      <c r="AX79" s="31">
        <v>2226</v>
      </c>
      <c r="AY79" s="31">
        <v>2264</v>
      </c>
      <c r="AZ79" s="31">
        <v>2283</v>
      </c>
      <c r="BA79" s="31">
        <f>+AVERAGE(AX79:AZ79)</f>
        <v>2257.6666666666665</v>
      </c>
      <c r="BB79" s="31">
        <v>2289</v>
      </c>
      <c r="BC79" s="31">
        <v>2310</v>
      </c>
      <c r="BD79" s="31">
        <v>2326</v>
      </c>
      <c r="BE79" s="31">
        <f>+AVERAGE(BB79:BD79)</f>
        <v>2308.3333333333335</v>
      </c>
      <c r="BF79" s="31">
        <v>2362</v>
      </c>
      <c r="BG79" s="31">
        <v>2379</v>
      </c>
      <c r="BH79" s="31">
        <v>2393</v>
      </c>
      <c r="BI79" s="31">
        <f>+AVERAGE(BF79:BH79)</f>
        <v>2378</v>
      </c>
      <c r="BJ79" s="31">
        <v>2391</v>
      </c>
      <c r="BK79" s="31">
        <v>2406</v>
      </c>
      <c r="BL79" s="31">
        <v>2407</v>
      </c>
      <c r="BM79" s="31">
        <f>+AVERAGE(BJ79:BL79)</f>
        <v>2401.3333333333335</v>
      </c>
      <c r="BN79" s="31">
        <v>2437</v>
      </c>
      <c r="BO79" s="31">
        <v>2457</v>
      </c>
      <c r="BP79" s="31">
        <v>2477</v>
      </c>
      <c r="BQ79" s="31">
        <f>+AVERAGE(BN79:BP79)</f>
        <v>2457</v>
      </c>
      <c r="BR79" s="31">
        <v>2471</v>
      </c>
      <c r="BS79" s="31">
        <v>2453</v>
      </c>
      <c r="BT79" s="31">
        <v>2459</v>
      </c>
      <c r="BU79" s="31">
        <f>+AVERAGE(BR79:BT79)</f>
        <v>2461</v>
      </c>
      <c r="BV79" s="31">
        <v>2457</v>
      </c>
      <c r="BW79" s="31">
        <v>2461</v>
      </c>
      <c r="BX79" s="31">
        <v>2483</v>
      </c>
      <c r="BY79" s="31">
        <f>+AVERAGE(BV79:BX79)</f>
        <v>2467</v>
      </c>
      <c r="BZ79" s="31">
        <v>2464</v>
      </c>
      <c r="CA79" s="31">
        <v>2458</v>
      </c>
      <c r="CB79" s="31">
        <v>2563</v>
      </c>
      <c r="CC79" s="31">
        <f>+AVERAGE(BZ79:CB79)</f>
        <v>2495</v>
      </c>
      <c r="CD79" s="31">
        <v>2643</v>
      </c>
      <c r="CE79" s="31">
        <v>2729</v>
      </c>
      <c r="CF79" s="31">
        <v>2738</v>
      </c>
      <c r="CG79" s="31">
        <f>+AVERAGE(CD79:CF79)</f>
        <v>2703.3333333333335</v>
      </c>
      <c r="CH79" s="31">
        <v>2772</v>
      </c>
      <c r="CI79" s="31">
        <v>2775</v>
      </c>
      <c r="CJ79" s="31">
        <v>2795</v>
      </c>
      <c r="CK79" s="31">
        <f>+AVERAGE(CH79:CJ79)</f>
        <v>2780.6666666666665</v>
      </c>
      <c r="CL79" s="31">
        <v>2791</v>
      </c>
      <c r="CM79" s="31">
        <v>2794</v>
      </c>
      <c r="CN79" s="31">
        <v>2793</v>
      </c>
      <c r="CO79" s="31">
        <f>+AVERAGE(CL79:CN79)</f>
        <v>2792.6666666666665</v>
      </c>
      <c r="CP79" s="31">
        <v>2804</v>
      </c>
      <c r="CQ79" s="31">
        <v>2791</v>
      </c>
      <c r="CR79" s="31">
        <v>2848</v>
      </c>
      <c r="CS79" s="31">
        <f>+AVERAGE(CP79:CR79)</f>
        <v>2814.3333333333335</v>
      </c>
      <c r="CT79" s="31">
        <v>2906</v>
      </c>
      <c r="CU79" s="31">
        <v>2983</v>
      </c>
      <c r="CV79" s="31">
        <v>3013</v>
      </c>
      <c r="CW79" s="31">
        <f>+AVERAGE(CT79:CV79)</f>
        <v>2967.3333333333335</v>
      </c>
      <c r="CX79" s="31">
        <v>3009</v>
      </c>
      <c r="CY79" s="31">
        <v>3012</v>
      </c>
      <c r="CZ79" s="31">
        <v>3018</v>
      </c>
      <c r="DA79" s="31">
        <f>+AVERAGE(CX79:CZ79)</f>
        <v>3013</v>
      </c>
      <c r="DB79" s="31">
        <v>3034</v>
      </c>
      <c r="DC79" s="31">
        <v>3016</v>
      </c>
      <c r="DD79" s="31">
        <v>3019</v>
      </c>
      <c r="DE79" s="31">
        <f>+AVERAGE(DB79:DD79)</f>
        <v>3023</v>
      </c>
      <c r="DF79" s="31">
        <v>3073</v>
      </c>
      <c r="DG79" s="31">
        <v>3114</v>
      </c>
      <c r="DH79" s="31">
        <v>3129</v>
      </c>
      <c r="DI79" s="31">
        <f>+AVERAGE(DF79:DH79)</f>
        <v>3105.3333333333335</v>
      </c>
      <c r="DJ79" s="31">
        <v>3124</v>
      </c>
      <c r="DK79" s="31">
        <v>3170</v>
      </c>
      <c r="DL79" s="31">
        <v>3179</v>
      </c>
      <c r="DM79" s="31">
        <f>+AVERAGE(DJ79:DL79)</f>
        <v>3157.6666666666665</v>
      </c>
      <c r="DN79" s="31">
        <v>3206</v>
      </c>
      <c r="DO79" s="31">
        <v>3230</v>
      </c>
      <c r="DP79" s="31">
        <v>3231</v>
      </c>
      <c r="DQ79" s="31">
        <f>+AVERAGE(DN79:DP79)</f>
        <v>3222.3333333333335</v>
      </c>
      <c r="DR79" s="31">
        <v>3239</v>
      </c>
      <c r="DS79" s="31">
        <v>3262</v>
      </c>
      <c r="DT79" s="31">
        <v>3268</v>
      </c>
      <c r="DU79" s="31">
        <f>+AVERAGE(DR79:DT79)</f>
        <v>3256.3333333333335</v>
      </c>
      <c r="DV79" s="31">
        <v>3282</v>
      </c>
      <c r="DW79" s="31">
        <v>3271</v>
      </c>
      <c r="DX79" s="31">
        <v>3270</v>
      </c>
      <c r="DY79" s="31">
        <f>+AVERAGE(DV79:DX79)</f>
        <v>3274.3333333333335</v>
      </c>
      <c r="DZ79" s="31">
        <v>3266</v>
      </c>
      <c r="EA79" s="31">
        <v>3284</v>
      </c>
      <c r="EB79" s="31">
        <v>3282</v>
      </c>
      <c r="EC79" s="31">
        <f>+AVERAGE(DZ79:EB79)</f>
        <v>3277.3333333333335</v>
      </c>
      <c r="ED79" s="31">
        <v>3307</v>
      </c>
      <c r="EE79" s="31">
        <v>3316</v>
      </c>
      <c r="EF79" s="31">
        <v>3316</v>
      </c>
      <c r="EG79" s="31">
        <f>+EF79</f>
        <v>3316</v>
      </c>
      <c r="EH79" s="31">
        <v>3316</v>
      </c>
      <c r="EI79" s="31">
        <v>3308</v>
      </c>
      <c r="EJ79" s="31">
        <v>3305</v>
      </c>
      <c r="EK79" s="31">
        <f>+EJ79</f>
        <v>3305</v>
      </c>
      <c r="EL79" s="31">
        <v>3291</v>
      </c>
      <c r="EM79" s="31">
        <v>3238</v>
      </c>
      <c r="EN79" s="31">
        <v>3243</v>
      </c>
      <c r="EO79" s="31">
        <f>+EN79</f>
        <v>3243</v>
      </c>
      <c r="EP79" s="31">
        <v>3210</v>
      </c>
      <c r="EQ79" s="31">
        <v>3259</v>
      </c>
      <c r="ER79" s="31">
        <v>3246</v>
      </c>
      <c r="ES79" s="31">
        <f>+ER79</f>
        <v>3246</v>
      </c>
      <c r="ET79" s="31">
        <v>3161</v>
      </c>
      <c r="EU79" s="31">
        <v>3192</v>
      </c>
      <c r="EV79" s="31">
        <v>3189</v>
      </c>
      <c r="EW79" s="31">
        <f>+IF(EV79&lt;&gt;"",EV79,IF(EU79&lt;&gt;"",EU79,ET79))</f>
        <v>3189</v>
      </c>
      <c r="EX79" s="31">
        <v>3187</v>
      </c>
      <c r="EY79" s="31">
        <v>2984</v>
      </c>
      <c r="EZ79" s="31">
        <v>2982</v>
      </c>
      <c r="FA79" s="31">
        <f>+IF(EZ79&lt;&gt;"",EZ79,IF(EY79&lt;&gt;"",EY79,EX79))</f>
        <v>2982</v>
      </c>
      <c r="FB79" s="31">
        <v>2969</v>
      </c>
      <c r="FC79" s="31">
        <v>2966</v>
      </c>
      <c r="FD79" s="31">
        <v>2962</v>
      </c>
      <c r="FE79" s="31">
        <f>+IF(FD79&lt;&gt;"",FD79,IF(FC79&lt;&gt;"",FC79,FB79))</f>
        <v>2962</v>
      </c>
      <c r="FF79" s="35">
        <v>2867</v>
      </c>
      <c r="FG79" s="31">
        <v>2863</v>
      </c>
      <c r="FH79" s="31">
        <v>2930</v>
      </c>
      <c r="FI79" s="31">
        <f>+IF(FH79&lt;&gt;"",FH79,IF(FG79&lt;&gt;"",FG79,FF79))</f>
        <v>2930</v>
      </c>
      <c r="FJ79" s="31">
        <v>2936</v>
      </c>
      <c r="FK79" s="31"/>
      <c r="FL79" s="31"/>
      <c r="FM79" s="31">
        <f>+IF(FL79&lt;&gt;"",FL79,IF(FK79&lt;&gt;"",FK79,FJ79))</f>
        <v>2936</v>
      </c>
      <c r="FN79" s="31"/>
      <c r="FO79" s="31"/>
      <c r="FP79" s="31"/>
      <c r="FQ79" s="31">
        <f>+IF(FP79&lt;&gt;"",FP79,IF(FO79&lt;&gt;"",FO79,FN79))</f>
        <v>0</v>
      </c>
      <c r="FR79" s="31"/>
      <c r="FS79" s="31"/>
      <c r="FT79" s="31"/>
      <c r="FU79" s="31">
        <f>+IF(FT79&lt;&gt;"",FT79,IF(FS79&lt;&gt;"",FS79,FR79))</f>
        <v>0</v>
      </c>
      <c r="FV79" s="35"/>
      <c r="FW79" s="31"/>
      <c r="FX79" s="31"/>
      <c r="FY79" s="31">
        <f>+IF(FX79&lt;&gt;"",FX79,IF(FW79&lt;&gt;"",FW79,FV79))</f>
        <v>0</v>
      </c>
      <c r="FZ79" s="33"/>
      <c r="GA79" s="31">
        <f>+AZ79</f>
        <v>2283</v>
      </c>
      <c r="GB79" s="31">
        <f>+BP79</f>
        <v>2477</v>
      </c>
      <c r="GC79" s="31">
        <f>+CF79</f>
        <v>2738</v>
      </c>
      <c r="GD79" s="31">
        <f>+CV79</f>
        <v>3013</v>
      </c>
      <c r="GE79" s="31">
        <f>+DL79</f>
        <v>3179</v>
      </c>
      <c r="GF79" s="31">
        <f>+EB79</f>
        <v>3282</v>
      </c>
      <c r="GG79" s="31">
        <f>+ES79</f>
        <v>3246</v>
      </c>
      <c r="GH79" s="31">
        <f>+IF(FI79&lt;&gt;0,FI79,IF(FE79&lt;&gt;0,FE79,IF(FA79&lt;&gt;0,FA79,EW79)))</f>
        <v>2930</v>
      </c>
      <c r="GI79" s="31">
        <f>+IF(FY79&lt;&gt;0,FY79,IF(FU79&lt;&gt;0,FU79,IF(FQ79&lt;&gt;0,FQ79,FM79)))</f>
        <v>2936</v>
      </c>
      <c r="GJ79" s="33"/>
      <c r="GK79" s="33"/>
      <c r="GL79" s="33"/>
      <c r="GM79" s="33"/>
      <c r="GN79" s="33"/>
      <c r="GO79" s="33"/>
      <c r="GP79" s="33"/>
      <c r="GQ79" s="33"/>
      <c r="GR79" s="33"/>
      <c r="GS79" s="33"/>
      <c r="GT79" s="33"/>
      <c r="GU79" s="33"/>
      <c r="GV79" s="33"/>
      <c r="GW79" s="33"/>
    </row>
    <row r="80" spans="1:205" s="32" customFormat="1" ht="15" customHeight="1">
      <c r="A80" s="21"/>
      <c r="B80" s="36"/>
      <c r="C80" s="35"/>
      <c r="D80" s="35"/>
      <c r="E80" s="35"/>
      <c r="F80" s="35"/>
      <c r="G80" s="35"/>
      <c r="H80" s="35"/>
      <c r="I80" s="35"/>
      <c r="J80" s="35"/>
      <c r="K80" s="35"/>
      <c r="L80" s="35"/>
      <c r="M80" s="35"/>
      <c r="N80" s="35"/>
      <c r="O80" s="35"/>
      <c r="P80" s="35"/>
      <c r="Q80" s="35"/>
      <c r="R80" s="35"/>
      <c r="S80" s="31"/>
      <c r="T80" s="31"/>
      <c r="U80" s="31"/>
      <c r="V80" s="31"/>
      <c r="W80" s="31"/>
      <c r="X80" s="31"/>
      <c r="Y80" s="31"/>
      <c r="Z80" s="31"/>
      <c r="AA80" s="31"/>
      <c r="AB80" s="31"/>
      <c r="AC80" s="31"/>
      <c r="AD80" s="31"/>
      <c r="AE80" s="31"/>
      <c r="AF80" s="31"/>
      <c r="AG80" s="31"/>
      <c r="AH80" s="31"/>
      <c r="AI80" s="31"/>
      <c r="AJ80" s="34"/>
      <c r="AK80" s="18"/>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5"/>
      <c r="FG80" s="31"/>
      <c r="FH80" s="31"/>
      <c r="FI80" s="31"/>
      <c r="FJ80" s="31"/>
      <c r="FL80" s="31"/>
      <c r="FM80" s="31"/>
      <c r="FN80" s="31"/>
      <c r="FO80" s="31"/>
      <c r="FP80" s="31"/>
      <c r="FQ80" s="31"/>
      <c r="FR80" s="31"/>
      <c r="FS80" s="31"/>
      <c r="FT80" s="31"/>
      <c r="FU80" s="31"/>
      <c r="FV80" s="35"/>
      <c r="FW80" s="31"/>
      <c r="FX80" s="31"/>
      <c r="FY80" s="31"/>
      <c r="FZ80" s="33"/>
      <c r="GA80" s="31"/>
      <c r="GB80" s="31"/>
      <c r="GC80" s="31"/>
      <c r="GD80" s="31"/>
      <c r="GE80" s="31"/>
      <c r="GF80" s="31"/>
      <c r="GG80" s="31"/>
      <c r="GH80" s="31"/>
      <c r="GI80" s="31"/>
      <c r="GJ80" s="33"/>
      <c r="GK80" s="33"/>
      <c r="GL80" s="33"/>
      <c r="GM80" s="33"/>
      <c r="GN80" s="33"/>
      <c r="GO80" s="33"/>
      <c r="GP80" s="33"/>
      <c r="GQ80" s="33"/>
      <c r="GR80" s="33"/>
      <c r="GS80" s="33"/>
      <c r="GT80" s="33"/>
      <c r="GU80" s="33"/>
      <c r="GV80" s="33"/>
      <c r="GW80" s="33"/>
    </row>
    <row r="81" spans="1:205" s="32" customFormat="1" ht="15" customHeight="1">
      <c r="A81" s="21"/>
      <c r="B81" s="36" t="s">
        <v>81</v>
      </c>
      <c r="C81" s="31">
        <f aca="true" t="shared" si="163" ref="C81:R81">+FJ81</f>
        <v>26</v>
      </c>
      <c r="D81" s="31">
        <f>+FK81</f>
        <v>0</v>
      </c>
      <c r="E81" s="31">
        <f>+FL81</f>
        <v>0</v>
      </c>
      <c r="F81" s="35">
        <f t="shared" si="163"/>
        <v>26</v>
      </c>
      <c r="G81" s="35">
        <f t="shared" si="163"/>
        <v>0</v>
      </c>
      <c r="H81" s="35">
        <f t="shared" si="163"/>
        <v>0</v>
      </c>
      <c r="I81" s="35">
        <f t="shared" si="163"/>
        <v>0</v>
      </c>
      <c r="J81" s="35">
        <f t="shared" si="163"/>
        <v>0</v>
      </c>
      <c r="K81" s="35">
        <f t="shared" si="163"/>
        <v>0</v>
      </c>
      <c r="L81" s="35">
        <f t="shared" si="163"/>
        <v>0</v>
      </c>
      <c r="M81" s="35">
        <f t="shared" si="163"/>
        <v>0</v>
      </c>
      <c r="N81" s="35">
        <f t="shared" si="163"/>
        <v>0</v>
      </c>
      <c r="O81" s="35">
        <f t="shared" si="163"/>
        <v>0</v>
      </c>
      <c r="P81" s="35">
        <f t="shared" si="163"/>
        <v>0</v>
      </c>
      <c r="Q81" s="35">
        <f t="shared" si="163"/>
        <v>0</v>
      </c>
      <c r="R81" s="35">
        <f t="shared" si="163"/>
        <v>0</v>
      </c>
      <c r="S81" s="35">
        <f aca="true" t="shared" si="164" ref="S81:AH81">+ET81</f>
        <v>0</v>
      </c>
      <c r="T81" s="35">
        <f t="shared" si="164"/>
        <v>0</v>
      </c>
      <c r="U81" s="35">
        <f t="shared" si="164"/>
        <v>0</v>
      </c>
      <c r="V81" s="35">
        <f t="shared" si="164"/>
        <v>0</v>
      </c>
      <c r="W81" s="35">
        <f t="shared" si="164"/>
        <v>28</v>
      </c>
      <c r="X81" s="35">
        <f t="shared" si="164"/>
        <v>31</v>
      </c>
      <c r="Y81" s="35">
        <f t="shared" si="164"/>
        <v>23</v>
      </c>
      <c r="Z81" s="35">
        <f t="shared" si="164"/>
        <v>23</v>
      </c>
      <c r="AA81" s="35">
        <f t="shared" si="164"/>
        <v>26</v>
      </c>
      <c r="AB81" s="35">
        <f t="shared" si="164"/>
        <v>29</v>
      </c>
      <c r="AC81" s="35">
        <f t="shared" si="164"/>
        <v>31</v>
      </c>
      <c r="AD81" s="35">
        <f t="shared" si="164"/>
        <v>31</v>
      </c>
      <c r="AE81" s="35">
        <f t="shared" si="164"/>
        <v>31</v>
      </c>
      <c r="AF81" s="35">
        <f t="shared" si="164"/>
        <v>32</v>
      </c>
      <c r="AG81" s="35">
        <f t="shared" si="164"/>
        <v>32</v>
      </c>
      <c r="AH81" s="35">
        <f t="shared" si="164"/>
        <v>32</v>
      </c>
      <c r="AI81" s="31"/>
      <c r="AJ81" s="44"/>
      <c r="AK81" s="18"/>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v>28</v>
      </c>
      <c r="EY81" s="31">
        <v>31</v>
      </c>
      <c r="EZ81" s="31">
        <v>23</v>
      </c>
      <c r="FA81" s="31">
        <f>+IF(EZ81&lt;&gt;"",EZ81,IF(EY81&lt;&gt;"",EY81,EX81))</f>
        <v>23</v>
      </c>
      <c r="FB81" s="31">
        <v>26</v>
      </c>
      <c r="FC81" s="31">
        <v>29</v>
      </c>
      <c r="FD81" s="31">
        <v>31</v>
      </c>
      <c r="FE81" s="31">
        <f>+IF(FD81&lt;&gt;"",FD81,IF(FC81&lt;&gt;"",FC81,FB81))</f>
        <v>31</v>
      </c>
      <c r="FF81" s="31">
        <v>31</v>
      </c>
      <c r="FG81" s="31">
        <v>32</v>
      </c>
      <c r="FH81" s="31">
        <v>32</v>
      </c>
      <c r="FI81" s="31">
        <f>+IF(FH81&lt;&gt;"",FH81,IF(FG81&lt;&gt;"",FG81,FF81))</f>
        <v>32</v>
      </c>
      <c r="FJ81" s="31">
        <v>26</v>
      </c>
      <c r="FK81" s="31"/>
      <c r="FL81" s="31"/>
      <c r="FM81" s="31">
        <f>+IF(FL81&lt;&gt;"",FL81,IF(FK81&lt;&gt;"",FK81,FJ81))</f>
        <v>26</v>
      </c>
      <c r="FN81" s="31"/>
      <c r="FO81" s="31"/>
      <c r="FP81" s="31"/>
      <c r="FQ81" s="31">
        <f>+IF(FP81&lt;&gt;"",FP81,IF(FO81&lt;&gt;"",FO81,FN81))</f>
        <v>0</v>
      </c>
      <c r="FR81" s="31"/>
      <c r="FS81" s="31"/>
      <c r="FT81" s="31"/>
      <c r="FU81" s="31">
        <f>+IF(FT81&lt;&gt;"",FT81,IF(FS81&lt;&gt;"",FS81,FR81))</f>
        <v>0</v>
      </c>
      <c r="FV81" s="31"/>
      <c r="FW81" s="31"/>
      <c r="FX81" s="31"/>
      <c r="FY81" s="31">
        <f>+IF(FX81&lt;&gt;"",FX81,IF(FW81&lt;&gt;"",FW81,FV81))</f>
        <v>0</v>
      </c>
      <c r="FZ81" s="33"/>
      <c r="GA81" s="31"/>
      <c r="GB81" s="31"/>
      <c r="GC81" s="31"/>
      <c r="GD81" s="31"/>
      <c r="GE81" s="31"/>
      <c r="GF81" s="31"/>
      <c r="GG81" s="31"/>
      <c r="GH81" s="31">
        <f>+IF(FI81&lt;&gt;0,FI81,IF(FE81&lt;&gt;0,FE81,IF(FA81&lt;&gt;0,FA81,EW81)))</f>
        <v>32</v>
      </c>
      <c r="GI81" s="31">
        <f>+IF(FY81&lt;&gt;0,FY81,IF(FU81&lt;&gt;0,FU81,IF(FQ81&lt;&gt;0,FQ81,FM81)))</f>
        <v>26</v>
      </c>
      <c r="GJ81" s="33"/>
      <c r="GK81" s="33"/>
      <c r="GL81" s="33"/>
      <c r="GM81" s="33"/>
      <c r="GN81" s="33"/>
      <c r="GO81" s="33"/>
      <c r="GP81" s="33"/>
      <c r="GQ81" s="33"/>
      <c r="GR81" s="33"/>
      <c r="GS81" s="33"/>
      <c r="GT81" s="33"/>
      <c r="GU81" s="33"/>
      <c r="GV81" s="33"/>
      <c r="GW81" s="33"/>
    </row>
    <row r="82" spans="1:205" s="32" customFormat="1" ht="15" customHeight="1">
      <c r="A82" s="21"/>
      <c r="B82" s="36"/>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4"/>
      <c r="AK82" s="18"/>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5"/>
      <c r="FG82" s="31"/>
      <c r="FH82" s="31"/>
      <c r="FI82" s="31"/>
      <c r="FJ82" s="31"/>
      <c r="FK82" s="31"/>
      <c r="FL82" s="31"/>
      <c r="FM82" s="31"/>
      <c r="FN82" s="31"/>
      <c r="FO82" s="31"/>
      <c r="FP82" s="31"/>
      <c r="FQ82" s="31"/>
      <c r="FR82" s="31"/>
      <c r="FS82" s="31"/>
      <c r="FT82" s="31"/>
      <c r="FU82" s="31"/>
      <c r="FV82" s="35"/>
      <c r="FW82" s="31"/>
      <c r="FX82" s="31"/>
      <c r="FY82" s="31"/>
      <c r="FZ82" s="33"/>
      <c r="GA82" s="31"/>
      <c r="GB82" s="31"/>
      <c r="GC82" s="31"/>
      <c r="GD82" s="31"/>
      <c r="GE82" s="31"/>
      <c r="GF82" s="31"/>
      <c r="GG82" s="31"/>
      <c r="GH82" s="31"/>
      <c r="GI82" s="31"/>
      <c r="GJ82" s="33"/>
      <c r="GK82" s="33"/>
      <c r="GL82" s="33"/>
      <c r="GM82" s="33"/>
      <c r="GN82" s="33"/>
      <c r="GO82" s="33"/>
      <c r="GP82" s="33"/>
      <c r="GQ82" s="33"/>
      <c r="GR82" s="33"/>
      <c r="GS82" s="33"/>
      <c r="GT82" s="33"/>
      <c r="GU82" s="33"/>
      <c r="GV82" s="33"/>
      <c r="GW82" s="33"/>
    </row>
    <row r="83" spans="1:191" s="32" customFormat="1" ht="15" customHeight="1" outlineLevel="1">
      <c r="A83" s="23"/>
      <c r="B83" s="36" t="s">
        <v>32</v>
      </c>
      <c r="C83" s="35">
        <f aca="true" t="shared" si="165" ref="C83:R83">+FJ83</f>
        <v>57.8326</v>
      </c>
      <c r="D83" s="35">
        <f t="shared" si="165"/>
        <v>0</v>
      </c>
      <c r="E83" s="35">
        <f t="shared" si="165"/>
        <v>0</v>
      </c>
      <c r="F83" s="35">
        <f t="shared" si="165"/>
        <v>57.8326</v>
      </c>
      <c r="G83" s="35">
        <f t="shared" si="165"/>
        <v>0</v>
      </c>
      <c r="H83" s="35">
        <f t="shared" si="165"/>
        <v>0</v>
      </c>
      <c r="I83" s="35">
        <f t="shared" si="165"/>
        <v>0</v>
      </c>
      <c r="J83" s="35">
        <f t="shared" si="165"/>
        <v>0</v>
      </c>
      <c r="K83" s="35">
        <f t="shared" si="165"/>
        <v>0</v>
      </c>
      <c r="L83" s="35">
        <f t="shared" si="165"/>
        <v>0</v>
      </c>
      <c r="M83" s="35">
        <f t="shared" si="165"/>
        <v>0</v>
      </c>
      <c r="N83" s="35">
        <f t="shared" si="165"/>
        <v>0</v>
      </c>
      <c r="O83" s="35">
        <f t="shared" si="165"/>
        <v>0</v>
      </c>
      <c r="P83" s="35">
        <f t="shared" si="165"/>
        <v>0</v>
      </c>
      <c r="Q83" s="35">
        <f t="shared" si="165"/>
        <v>0</v>
      </c>
      <c r="R83" s="35">
        <f t="shared" si="165"/>
        <v>0</v>
      </c>
      <c r="S83" s="35">
        <f aca="true" t="shared" si="166" ref="S83:AH83">+ET83</f>
        <v>58.3065</v>
      </c>
      <c r="T83" s="35">
        <f t="shared" si="166"/>
        <v>58.0968</v>
      </c>
      <c r="U83" s="35">
        <f t="shared" si="166"/>
        <v>57.4518</v>
      </c>
      <c r="V83" s="35">
        <f t="shared" si="166"/>
        <v>57.951699999999995</v>
      </c>
      <c r="W83" s="35">
        <f t="shared" si="166"/>
        <v>57.0965</v>
      </c>
      <c r="X83" s="35">
        <f t="shared" si="166"/>
        <v>57.040228571428564</v>
      </c>
      <c r="Y83" s="35">
        <f t="shared" si="166"/>
        <v>57.1258</v>
      </c>
      <c r="Z83" s="35">
        <f t="shared" si="166"/>
        <v>57.08750952380952</v>
      </c>
      <c r="AA83" s="35">
        <f t="shared" si="166"/>
        <v>57.1956</v>
      </c>
      <c r="AB83" s="35">
        <f t="shared" si="166"/>
        <v>57.185376190476184</v>
      </c>
      <c r="AC83" s="35">
        <f t="shared" si="166"/>
        <v>56.759</v>
      </c>
      <c r="AD83" s="35">
        <f t="shared" si="166"/>
        <v>57.04665873015873</v>
      </c>
      <c r="AE83" s="35">
        <f t="shared" si="166"/>
        <v>56.5141</v>
      </c>
      <c r="AF83" s="35">
        <f t="shared" si="166"/>
        <v>56.7216</v>
      </c>
      <c r="AG83" s="35">
        <f t="shared" si="166"/>
        <v>57.1601</v>
      </c>
      <c r="AH83" s="35">
        <f t="shared" si="166"/>
        <v>56.7986</v>
      </c>
      <c r="AI83" s="75">
        <f>+C83-S83</f>
        <v>-0.47390000000000043</v>
      </c>
      <c r="AJ83" s="34">
        <f>+(AI83/S83)</f>
        <v>-0.00812773875982953</v>
      </c>
      <c r="AK83" s="18"/>
      <c r="AL83" s="75">
        <v>42.9692</v>
      </c>
      <c r="AM83" s="75">
        <v>43.1817</v>
      </c>
      <c r="AN83" s="75">
        <v>43.2189</v>
      </c>
      <c r="AO83" s="75">
        <f>+AVERAGE(AL83:AN83)</f>
        <v>43.123266666666666</v>
      </c>
      <c r="AP83" s="75">
        <v>43.2036</v>
      </c>
      <c r="AQ83" s="75">
        <v>43.283304761904766</v>
      </c>
      <c r="AR83" s="75">
        <v>43.4811</v>
      </c>
      <c r="AS83" s="75">
        <f>+AVERAGE(AP83:AR83)</f>
        <v>43.32266825396825</v>
      </c>
      <c r="AT83" s="75">
        <v>43.5749</v>
      </c>
      <c r="AU83" s="75">
        <v>43.6016</v>
      </c>
      <c r="AV83" s="75">
        <v>43.76516666666667</v>
      </c>
      <c r="AW83" s="75">
        <f>+AVERAGE(AT83:AV83)</f>
        <v>43.64722222222222</v>
      </c>
      <c r="AX83" s="75">
        <v>43.9085</v>
      </c>
      <c r="AY83" s="75">
        <v>44.1474</v>
      </c>
      <c r="AZ83" s="75">
        <v>44.2607</v>
      </c>
      <c r="BA83" s="75">
        <f>+AVERAGE(AX83:AZ83)</f>
        <v>44.105533333333334</v>
      </c>
      <c r="BB83" s="75">
        <v>44.607922222222236</v>
      </c>
      <c r="BC83" s="75">
        <v>44.8817</v>
      </c>
      <c r="BD83" s="75">
        <v>44.7524</v>
      </c>
      <c r="BE83" s="75">
        <f>+AVERAGE(BB83:BD83)</f>
        <v>44.747340740740746</v>
      </c>
      <c r="BF83" s="75">
        <v>44.7971238095238</v>
      </c>
      <c r="BG83" s="75">
        <v>44.8651</v>
      </c>
      <c r="BH83" s="75">
        <v>44.914857142857144</v>
      </c>
      <c r="BI83" s="75">
        <f>+AVERAGE(BF83:BH83)</f>
        <v>44.85902698412698</v>
      </c>
      <c r="BJ83" s="75">
        <v>45.06055652173912</v>
      </c>
      <c r="BK83" s="75">
        <v>45.143261904761914</v>
      </c>
      <c r="BL83" s="75">
        <v>45.22822380952381</v>
      </c>
      <c r="BM83" s="75">
        <f>+AVERAGE(BJ83:BL83)</f>
        <v>45.14401407867496</v>
      </c>
      <c r="BN83" s="75">
        <v>45.3339</v>
      </c>
      <c r="BO83" s="75">
        <v>45.4333</v>
      </c>
      <c r="BP83" s="75">
        <v>45.5277</v>
      </c>
      <c r="BQ83" s="75">
        <f>+AVERAGE(BN83:BP83)</f>
        <v>45.43163333333334</v>
      </c>
      <c r="BR83" s="75">
        <v>45.6154</v>
      </c>
      <c r="BS83" s="75">
        <v>45.7642</v>
      </c>
      <c r="BT83" s="75">
        <v>45.8094</v>
      </c>
      <c r="BU83" s="75">
        <f>+AVERAGE(BR83:BT83)</f>
        <v>45.729666666666674</v>
      </c>
      <c r="BV83" s="75">
        <v>45.8535</v>
      </c>
      <c r="BW83" s="75">
        <v>45.901</v>
      </c>
      <c r="BX83" s="75">
        <v>45.95412727272728</v>
      </c>
      <c r="BY83" s="75">
        <f>+AVERAGE(BV83:BX83)</f>
        <v>45.902875757575764</v>
      </c>
      <c r="BZ83" s="75">
        <v>45.9945</v>
      </c>
      <c r="CA83" s="75">
        <v>46.0061</v>
      </c>
      <c r="CB83" s="75">
        <v>46.17459999999999</v>
      </c>
      <c r="CC83" s="75">
        <f>+AVERAGE(BZ83:CB83)</f>
        <v>46.0584</v>
      </c>
      <c r="CD83" s="75">
        <v>46.4371</v>
      </c>
      <c r="CE83" s="75">
        <v>46.5893</v>
      </c>
      <c r="CF83" s="75">
        <v>46.6741</v>
      </c>
      <c r="CG83" s="75">
        <f>+AVERAGE(CD83:CF83)</f>
        <v>46.566833333333335</v>
      </c>
      <c r="CH83" s="75">
        <v>46.7828</v>
      </c>
      <c r="CI83" s="75">
        <v>47.1285</v>
      </c>
      <c r="CJ83" s="75">
        <v>47.3172</v>
      </c>
      <c r="CK83" s="75">
        <f>+AVERAGE(CH83:CJ83)</f>
        <v>47.076166666666666</v>
      </c>
      <c r="CL83" s="75">
        <v>47.3961111111111</v>
      </c>
      <c r="CM83" s="75">
        <v>47.4402</v>
      </c>
      <c r="CN83" s="75">
        <v>47.5046</v>
      </c>
      <c r="CO83" s="75">
        <f>+AVERAGE(CL83:CN83)</f>
        <v>47.446970370370366</v>
      </c>
      <c r="CP83" s="75">
        <v>47.5375</v>
      </c>
      <c r="CQ83" s="75">
        <v>47.58120454545454</v>
      </c>
      <c r="CR83" s="75">
        <v>47.7206</v>
      </c>
      <c r="CS83" s="75">
        <f>+AVERAGE(CP83:CR83)</f>
        <v>47.613101515151506</v>
      </c>
      <c r="CT83" s="75">
        <v>47.8314</v>
      </c>
      <c r="CU83" s="75">
        <v>47.97352380952381</v>
      </c>
      <c r="CV83" s="75">
        <v>48.19887</v>
      </c>
      <c r="CW83" s="75">
        <f>+AVERAGE(CT83:CV83)</f>
        <v>48.001264603174604</v>
      </c>
      <c r="CX83" s="75">
        <v>48.424699999999994</v>
      </c>
      <c r="CY83" s="75">
        <v>48.8367</v>
      </c>
      <c r="CZ83" s="75">
        <v>49.20291428571428</v>
      </c>
      <c r="DA83" s="75">
        <f>+AVERAGE(CX83:CZ83)</f>
        <v>48.821438095238086</v>
      </c>
      <c r="DB83" s="75">
        <v>49.3807</v>
      </c>
      <c r="DC83" s="75">
        <v>49.4018</v>
      </c>
      <c r="DD83" s="75">
        <v>49.4161</v>
      </c>
      <c r="DE83" s="75">
        <f>+AVERAGE(DB83:DD83)</f>
        <v>49.39953333333333</v>
      </c>
      <c r="DF83" s="75">
        <v>49.5841</v>
      </c>
      <c r="DG83" s="75">
        <v>49.7276</v>
      </c>
      <c r="DH83" s="75">
        <v>49.8208</v>
      </c>
      <c r="DI83" s="75">
        <f>+AVERAGE(DF83:DH83)</f>
        <v>49.71083333333333</v>
      </c>
      <c r="DJ83" s="75">
        <v>49.977</v>
      </c>
      <c r="DK83" s="75">
        <v>50.1375</v>
      </c>
      <c r="DL83" s="75">
        <v>50.21</v>
      </c>
      <c r="DM83" s="75">
        <f>+AVERAGE(DJ83:DL83)</f>
        <v>50.10816666666667</v>
      </c>
      <c r="DN83" s="75">
        <v>50.3761</v>
      </c>
      <c r="DO83" s="75">
        <v>50.4897</v>
      </c>
      <c r="DP83" s="75">
        <v>50.5432</v>
      </c>
      <c r="DQ83" s="75">
        <f>+AVERAGE(DN83:DP83)</f>
        <v>50.46966666666666</v>
      </c>
      <c r="DR83" s="75">
        <v>50.5524</v>
      </c>
      <c r="DS83" s="75">
        <v>50.5647</v>
      </c>
      <c r="DT83" s="75">
        <v>50.7277</v>
      </c>
      <c r="DU83" s="75">
        <f>+AVERAGE(DR83:DT83)</f>
        <v>50.61493333333333</v>
      </c>
      <c r="DV83" s="75">
        <v>50.9213</v>
      </c>
      <c r="DW83" s="75">
        <v>51.1756</v>
      </c>
      <c r="DX83" s="75">
        <v>51.6597</v>
      </c>
      <c r="DY83" s="75">
        <f>+AVERAGE(DV83:DX83)</f>
        <v>51.252199999999995</v>
      </c>
      <c r="DZ83" s="75">
        <v>52.7486</v>
      </c>
      <c r="EA83" s="75">
        <v>52.8691</v>
      </c>
      <c r="EB83" s="75">
        <v>52.9102</v>
      </c>
      <c r="EC83" s="75">
        <f>+AVERAGE(DZ83:EB83)</f>
        <v>52.84263333333334</v>
      </c>
      <c r="ED83" s="75">
        <v>53.1086</v>
      </c>
      <c r="EE83" s="75">
        <v>53.3702</v>
      </c>
      <c r="EF83" s="75">
        <v>53.7389</v>
      </c>
      <c r="EG83" s="75">
        <f>+AVERAGE(ED83:EF83)</f>
        <v>53.4059</v>
      </c>
      <c r="EH83" s="75">
        <v>54.2019</v>
      </c>
      <c r="EI83" s="75">
        <v>55.3914</v>
      </c>
      <c r="EJ83" s="75">
        <v>57.9353</v>
      </c>
      <c r="EK83" s="75">
        <f>+AVERAGE(EH83:EJ83)</f>
        <v>55.84286666666666</v>
      </c>
      <c r="EL83" s="75">
        <v>58.3452</v>
      </c>
      <c r="EM83" s="75">
        <v>58.4827</v>
      </c>
      <c r="EN83" s="75">
        <v>58.4714</v>
      </c>
      <c r="EO83" s="75">
        <f>+AVERAGE(EL83:EN83)</f>
        <v>58.4331</v>
      </c>
      <c r="EP83" s="75">
        <v>58.4858</v>
      </c>
      <c r="EQ83" s="75">
        <v>58.4476</v>
      </c>
      <c r="ER83" s="75">
        <v>58.3154</v>
      </c>
      <c r="ES83" s="75">
        <f>+AVERAGE(EP83:ER83)</f>
        <v>58.41626666666667</v>
      </c>
      <c r="ET83" s="75">
        <v>58.3065</v>
      </c>
      <c r="EU83" s="75">
        <v>58.0968</v>
      </c>
      <c r="EV83" s="75">
        <v>57.4518</v>
      </c>
      <c r="EW83" s="75">
        <f>+AVERAGE(ET83:EV83)</f>
        <v>57.951699999999995</v>
      </c>
      <c r="EX83" s="75">
        <v>57.0965</v>
      </c>
      <c r="EY83" s="75">
        <v>57.040228571428564</v>
      </c>
      <c r="EZ83" s="75">
        <v>57.1258</v>
      </c>
      <c r="FA83" s="75">
        <f>+_xlfn.IFERROR(AVERAGE(EX83:EZ83),0)</f>
        <v>57.08750952380952</v>
      </c>
      <c r="FB83" s="75">
        <v>57.1956</v>
      </c>
      <c r="FC83" s="75">
        <v>57.185376190476184</v>
      </c>
      <c r="FD83" s="75">
        <v>56.759</v>
      </c>
      <c r="FE83" s="75">
        <f>+_xlfn.IFERROR(AVERAGE(FB83:FD83),0)</f>
        <v>57.04665873015873</v>
      </c>
      <c r="FF83" s="35">
        <v>56.5141</v>
      </c>
      <c r="FG83" s="75">
        <v>56.7216</v>
      </c>
      <c r="FH83" s="75">
        <v>57.1601</v>
      </c>
      <c r="FI83" s="75">
        <f>+_xlfn.IFERROR(AVERAGE(FF83:FH83),0)</f>
        <v>56.7986</v>
      </c>
      <c r="FJ83" s="75">
        <v>57.8326</v>
      </c>
      <c r="FK83" s="75"/>
      <c r="FL83" s="75"/>
      <c r="FM83" s="75">
        <f>+AVERAGE(FJ83:FL83)</f>
        <v>57.8326</v>
      </c>
      <c r="FN83" s="75"/>
      <c r="FO83" s="75"/>
      <c r="FP83" s="75"/>
      <c r="FQ83" s="75">
        <f>+_xlfn.IFERROR(AVERAGE(FN83:FP83),0)</f>
        <v>0</v>
      </c>
      <c r="FR83" s="75"/>
      <c r="FS83" s="75"/>
      <c r="FT83" s="75"/>
      <c r="FU83" s="75">
        <f>+_xlfn.IFERROR(AVERAGE(FR83:FT83),0)</f>
        <v>0</v>
      </c>
      <c r="FV83" s="35"/>
      <c r="FW83" s="75"/>
      <c r="FX83" s="75"/>
      <c r="FY83" s="75">
        <f>+_xlfn.IFERROR(AVERAGE(FV83:FX83),0)</f>
        <v>0</v>
      </c>
      <c r="GA83" s="27">
        <f>+AVERAGE(AO83,AS83,AW83,BA83)</f>
        <v>43.54967261904762</v>
      </c>
      <c r="GB83" s="27">
        <f>+AVERAGE(BE83,BI83,BM83,BQ83)</f>
        <v>45.045503784219</v>
      </c>
      <c r="GC83" s="27">
        <f>+AVERAGE(BU83,BY83,CC83,CG83)</f>
        <v>46.064443939393946</v>
      </c>
      <c r="GD83" s="27">
        <f>+AVERAGE(CK83,CO83,CS83,CW83)</f>
        <v>47.534375788840784</v>
      </c>
      <c r="GE83" s="27">
        <f>+AVERAGE(DA83,DE83,DI83,DM83)</f>
        <v>49.509992857142855</v>
      </c>
      <c r="GF83" s="27">
        <f>+AVERAGE(DQ83,DU83,DY83,EC83)</f>
        <v>51.29485833333333</v>
      </c>
      <c r="GG83" s="27">
        <f>+AVERAGE(EG83,EK83,EO83,ES83)</f>
        <v>56.52453333333333</v>
      </c>
      <c r="GH83" s="70">
        <f>+AVERAGE(ET83:EV83,EX83:EZ83,FB83:FD83,FF83:FH83)</f>
        <v>57.221117063492066</v>
      </c>
      <c r="GI83" s="70">
        <f>+AVERAGE(FJ83:FL83,FN83:FP83,FR83:FT83,FV83:FX83)</f>
        <v>57.8326</v>
      </c>
    </row>
    <row r="84" spans="2:186" ht="12.75">
      <c r="B84" s="1"/>
      <c r="C84" s="32"/>
      <c r="D84" s="32"/>
      <c r="E84" s="32"/>
      <c r="F84" s="32"/>
      <c r="G84" s="32"/>
      <c r="H84" s="32"/>
      <c r="I84" s="32"/>
      <c r="J84" s="32"/>
      <c r="K84" s="32"/>
      <c r="L84" s="32"/>
      <c r="M84" s="32"/>
      <c r="N84" s="32"/>
      <c r="O84" s="32"/>
      <c r="P84" s="32"/>
      <c r="Q84" s="32"/>
      <c r="R84" s="32"/>
      <c r="AK84" s="1"/>
      <c r="BR84" s="1"/>
      <c r="BS84" s="1"/>
      <c r="BT84" s="1"/>
      <c r="BV84" s="1"/>
      <c r="BW84" s="1"/>
      <c r="BX84" s="1"/>
      <c r="BZ84" s="1"/>
      <c r="CA84" s="1"/>
      <c r="CB84" s="1"/>
      <c r="CD84" s="1"/>
      <c r="CE84" s="1"/>
      <c r="CF84" s="1"/>
      <c r="CH84" s="1"/>
      <c r="CI84" s="1"/>
      <c r="CJ84" s="1"/>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FF84" s="77"/>
      <c r="FV84" s="77"/>
      <c r="GB84" s="4"/>
      <c r="GC84" s="4"/>
      <c r="GD84" s="35"/>
    </row>
    <row r="85" spans="1:133" s="32" customFormat="1" ht="12.75">
      <c r="A85" s="23"/>
      <c r="S85" s="31"/>
      <c r="T85" s="31"/>
      <c r="U85" s="31"/>
      <c r="V85" s="31"/>
      <c r="W85" s="31"/>
      <c r="X85" s="31"/>
      <c r="Y85" s="31"/>
      <c r="Z85" s="31"/>
      <c r="AA85" s="31"/>
      <c r="AB85" s="31"/>
      <c r="AC85" s="31"/>
      <c r="AD85" s="31"/>
      <c r="AE85" s="31"/>
      <c r="AF85" s="31"/>
      <c r="AG85" s="31"/>
      <c r="AH85" s="31"/>
      <c r="AI85" s="31"/>
      <c r="AJ85" s="34"/>
      <c r="AK85" s="18"/>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52"/>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row>
    <row r="86" spans="1:133" s="32" customFormat="1" ht="12.75">
      <c r="A86" s="23"/>
      <c r="S86" s="31"/>
      <c r="T86" s="31"/>
      <c r="U86" s="31"/>
      <c r="V86" s="31"/>
      <c r="W86" s="31"/>
      <c r="X86" s="31"/>
      <c r="Y86" s="31"/>
      <c r="Z86" s="31"/>
      <c r="AA86" s="31"/>
      <c r="AB86" s="31"/>
      <c r="AC86" s="31"/>
      <c r="AD86" s="31"/>
      <c r="AE86" s="31"/>
      <c r="AF86" s="31"/>
      <c r="AG86" s="31"/>
      <c r="AH86" s="31"/>
      <c r="AI86" s="31"/>
      <c r="AJ86" s="34"/>
      <c r="AK86" s="18"/>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row>
    <row r="87" spans="2:90" ht="12.75">
      <c r="B87" s="1"/>
      <c r="C87" s="32"/>
      <c r="D87" s="32"/>
      <c r="E87" s="32"/>
      <c r="F87" s="32"/>
      <c r="G87" s="32"/>
      <c r="H87" s="32"/>
      <c r="I87" s="32"/>
      <c r="J87" s="32"/>
      <c r="K87" s="32"/>
      <c r="L87" s="32"/>
      <c r="M87" s="32"/>
      <c r="N87" s="32"/>
      <c r="O87" s="32"/>
      <c r="P87" s="32"/>
      <c r="Q87" s="32"/>
      <c r="R87" s="32"/>
      <c r="AK87" s="1"/>
      <c r="BR87" s="1"/>
      <c r="BS87" s="1"/>
      <c r="BT87" s="1"/>
      <c r="BV87" s="1"/>
      <c r="BW87" s="1"/>
      <c r="BX87" s="1"/>
      <c r="BZ87" s="1"/>
      <c r="CA87" s="1"/>
      <c r="CB87" s="1"/>
      <c r="CD87" s="1"/>
      <c r="CE87" s="1"/>
      <c r="CF87" s="1"/>
      <c r="CH87" s="1"/>
      <c r="CI87" s="1"/>
      <c r="CJ87" s="1"/>
      <c r="CL87" s="1"/>
    </row>
    <row r="88" spans="2:90" ht="12.75">
      <c r="B88" s="1"/>
      <c r="C88" s="32"/>
      <c r="D88" s="32"/>
      <c r="E88" s="32"/>
      <c r="F88" s="32"/>
      <c r="G88" s="32"/>
      <c r="H88" s="32"/>
      <c r="I88" s="32"/>
      <c r="J88" s="32"/>
      <c r="K88" s="32"/>
      <c r="L88" s="32"/>
      <c r="M88" s="32"/>
      <c r="N88" s="32"/>
      <c r="O88" s="32"/>
      <c r="P88" s="32"/>
      <c r="Q88" s="32"/>
      <c r="R88" s="32"/>
      <c r="AK88" s="1"/>
      <c r="BR88" s="1"/>
      <c r="BS88" s="1"/>
      <c r="BT88" s="1"/>
      <c r="BV88" s="1"/>
      <c r="BW88" s="1"/>
      <c r="BX88" s="1"/>
      <c r="BZ88" s="1"/>
      <c r="CA88" s="1"/>
      <c r="CB88" s="1"/>
      <c r="CD88" s="1"/>
      <c r="CE88" s="1"/>
      <c r="CF88" s="1"/>
      <c r="CH88" s="1"/>
      <c r="CI88" s="1"/>
      <c r="CJ88" s="1"/>
      <c r="CL88" s="1"/>
    </row>
    <row r="89" spans="2:90" ht="12.75">
      <c r="B89" s="1"/>
      <c r="C89" s="32"/>
      <c r="D89" s="32"/>
      <c r="E89" s="32"/>
      <c r="F89" s="32"/>
      <c r="G89" s="32"/>
      <c r="H89" s="32"/>
      <c r="I89" s="32"/>
      <c r="J89" s="32"/>
      <c r="K89" s="32"/>
      <c r="L89" s="32"/>
      <c r="M89" s="32"/>
      <c r="N89" s="32"/>
      <c r="O89" s="32"/>
      <c r="P89" s="32"/>
      <c r="Q89" s="32"/>
      <c r="R89" s="32"/>
      <c r="AK89" s="1"/>
      <c r="BR89" s="1"/>
      <c r="BS89" s="1"/>
      <c r="BT89" s="1"/>
      <c r="BV89" s="1"/>
      <c r="BW89" s="1"/>
      <c r="BX89" s="1"/>
      <c r="BZ89" s="1"/>
      <c r="CA89" s="1"/>
      <c r="CB89" s="1"/>
      <c r="CD89" s="1"/>
      <c r="CE89" s="1"/>
      <c r="CF89" s="1"/>
      <c r="CH89" s="1"/>
      <c r="CI89" s="1"/>
      <c r="CJ89" s="1"/>
      <c r="CL89" s="1"/>
    </row>
    <row r="90" spans="38:133" ht="12" customHeight="1">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57"/>
      <c r="CG90" s="5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47"/>
      <c r="DN90" s="47"/>
      <c r="DO90" s="47"/>
      <c r="DP90" s="47"/>
      <c r="DQ90" s="47"/>
      <c r="DR90" s="47"/>
      <c r="DS90" s="47"/>
      <c r="DT90" s="47"/>
      <c r="DU90" s="47"/>
      <c r="DV90" s="47"/>
      <c r="DW90" s="47"/>
      <c r="DX90" s="47"/>
      <c r="DY90" s="47"/>
      <c r="DZ90" s="47"/>
      <c r="EA90" s="47"/>
      <c r="EB90" s="47"/>
      <c r="EC90" s="47"/>
    </row>
    <row r="91" spans="2:18" ht="12" customHeight="1">
      <c r="B91" s="48"/>
      <c r="C91" s="48"/>
      <c r="D91" s="48"/>
      <c r="E91" s="48"/>
      <c r="F91" s="48"/>
      <c r="G91" s="48"/>
      <c r="H91" s="48"/>
      <c r="I91" s="48"/>
      <c r="J91" s="48"/>
      <c r="K91" s="48"/>
      <c r="L91" s="48"/>
      <c r="M91" s="48"/>
      <c r="N91" s="48"/>
      <c r="O91" s="48"/>
      <c r="P91" s="48"/>
      <c r="Q91" s="48"/>
      <c r="R91" s="48"/>
    </row>
  </sheetData>
  <sheetProtection/>
  <mergeCells count="2">
    <mergeCell ref="C6:AJ6"/>
    <mergeCell ref="GA6:GH6"/>
  </mergeCells>
  <printOptions horizontalCentered="1"/>
  <pageMargins left="0.2362204724409449" right="0.2362204724409449" top="0.2362204724409449" bottom="0.2362204724409449" header="0.2362204724409449" footer="0.2362204724409449"/>
  <pageSetup fitToHeight="0" fitToWidth="1" horizontalDpi="600" verticalDpi="600" orientation="landscape" paperSize="17" scale="12" r:id="rId2"/>
  <ignoredErrors>
    <ignoredError sqref="GB7:GC7" numberStoredAsText="1"/>
    <ignoredError sqref="GA37:GC37 GA43:GC43 GA50:GC50 GA49:GC49 GA13:GC13 GA16:GC16 GA15:GC15 GA17:GC17 GA19:GC19 GA22:GC22 GA21:GC21 GA23:GC23 GA25:GC25 GA28:GC28 GA27:GC27 GA33:GC33 GA35:GC35 GA41:GC41 GA39:GC39 GA30:GC30 GA29:GC29 GA31:GC31 GA45:GC45 GA47:GC47 GA52:GC52 GA51:GC51 GA54:GC54 GA53:GC53 GA56:GC56 GA55:GC55 GA58:GC58 GA57:GC57 GA60:GC60 GA59:GC59 GA62:GC62 GA61:GC61 GA64:GC64 GA63:GC63 GA65:GC65 GA67:GC67 GA70 GA69:GC69 GA71:GC71 GA72:GC72 GA74:GC74 GA76:GC76 GA78:GC78 AK78 AK79 AJ13 AJ78 AJ9 AJ67 AJ11 AJ15 AJ17 AJ19 AJ21 AJ25 AJ27 AJ31 AJ33 AJ35 AJ37 AJ39 AJ41 AJ43 AJ45 AJ47 AJ49 AJ53 AJ57 AJ61 AJ65 AJ71 AJ72 AJ74 AJ76 S65 S61 S57 S53 S49 S47 S23 S82 S78 S67 S69 S71 S72 S74 S76 S25 S27 S31 S33 S35 S37 S39 S41 S43 S45 S13 S9 S11 S15 S17 S19 S21 AJ55 GE84 AJ63 GD10 GD9 GD11 GD13 GD21 GD19 GD15 GD17 GD16 GD28 GD30 GD31 GD29 GD39 GD35 GD33 GD27 GD25 GD37 GD41 GD82 GD78 GD76 GD74 GD72 GD71 GD69 GD67 GD50 GD54 GD58 GD62 GD65 GD63 GD61 GD59 GD57 GD55 GD53 GD51 GD47 GD45 GD49 GD43 GD23 GD22 GD52 GD56 GD60 GD64 GE30 GE28 GE22 GE16 GE50 GE54 GE58 GE62 GE10 GE9 GE11 GE65 GE63 GE61 GE59 GE57 GE55 GE53 GE51 GE49 GE47 GE45 GE43 GE67 GE13 GE15 GE17 GE19 GE21 GE23 GE25 GE27 GE29 GE31 GE33 GE35 GE37 GE39 GE41 GE69 GE71 GE72 GE74 GE76 GE78 GE82 GE52 GE56 GE60 GE64 AJ23 AJ29 AJ51 AJ59 S29 S51 S55 S59 S63" formulaRange="1"/>
    <ignoredError sqref="GA7 DY48 DY44" numberStoredAsText="1" formulaRange="1"/>
    <ignoredError sqref="AO33:DQ33 AO72:DQ72 AO45:DQ45 AO44:DM44 DQ44 AO47:DQ47 AO46:DM46 DQ46 AO49:DQ49 AO48:DN48 DQ48 AO51:DQ51 AO50:DN50 DQ50 AO55:DQ55 AO54:DN54 DQ54 AO59:DQ59 AO58:DN58 DQ58 AO63:DQ63 AO62:DN62 DQ62 AO53:DQ53 AP52:AR52 AO57:DQ57 AP56:AR56 AO61:DQ61 AP60:AR60 AO65:DQ65 AP64:AR64 AT52:AV52 AT56:AV56 AT60:AV60 AT64:AV64 AX52:AZ52 AX56:AZ56 AX60:AZ60 AX64:AZ64 BB52:BD52 BB56:BD56 BB60:BD60 BB64:BD64 BF52:BH52 BF56:BH56 BF60:BH60 BF64:BH64 BJ52:BL52 BJ56:BL56 BJ60:BL60 BJ64:BL64 BN52:BP52 BN56:BP56 BN60:BP60 BN64:BP64 BR52:BT52 BR56:BT56 BR60:BT60 BR64:BT64 BV52:BX52 BV56:BX56 BV60:BX60 BV64:BX64 BZ52:CB52 BZ56:CB56 BZ60:CB60 BZ64:CB64 CD52:CF52 CD56:CF56 CD60:CF60 CD64:CF64 CH52:CJ52 CH56:CJ56 CH60:CJ60 CH64:CI64 CL52:CN52 CL56:CN56 CL60:CN60 CL64:CN64 CP52:CR52 CP56:CR56 CP60:CR60 CP64:CR64 CT52:CV52 CT56:CV56 CT60:CV60 CT64:CV64 CX52:CZ52 CX56:CZ56 CX60:CZ60 CX64:CZ64 DB52:DD52 DB56:DD56 DB60:DD60 DB64:DD64 DF52:DH52 DF56:DH56 DF60:DH60 DF64:DH64 DJ64:DL64 DJ60:DL60 DJ56:DL56 DJ52:DL52 AO35:DQ35 AO34:DN34 DQ34 AO32:DN32 DQ32 AO37:DQ37 AO36:DN36 DQ36 AO41:DQ41 AO40:DM40 DQ40 AO39:DQ39 AO38:DM38 DQ38 AO43:DQ43 AO42:DN42 DQ42 AO83:DN83 DQ83 AO82:DQ82 AO79:DN79 DQ79 AO67:DQ67 AO66:DN66 DQ66 AO69:DQ69 AO68:DN68 DQ68 AO71:DQ71 AO70:DN70 DQ70 AO76:DQ76 AO74:DN74 DP74:DQ74 AO78:DQ78 AO77:DN77 DQ77 DQ73 DQ75 DU44:DU48 AD84 AO73:DM73 AO75:DM75 EC48 EG48 EK48 EK44 EO44:EO46 EO48 EW44:EW48" formula="1"/>
    <ignoredError sqref="DY10:DY43 DY49:DY51 DY45:DY47 DY67:DY71 DY82:DY83 DY53:DY55 DY57:DY59 DY61:DY63 DY65 DY76:DY79 DY72:DY74" evalError="1"/>
    <ignoredError sqref="DY48 DY44" evalError="1" formula="1"/>
  </ignoredErrors>
  <drawing r:id="rId1"/>
</worksheet>
</file>

<file path=xl/worksheets/sheet2.xml><?xml version="1.0" encoding="utf-8"?>
<worksheet xmlns="http://schemas.openxmlformats.org/spreadsheetml/2006/main" xmlns:r="http://schemas.openxmlformats.org/officeDocument/2006/relationships">
  <dimension ref="EZ12:GH83"/>
  <sheetViews>
    <sheetView showGridLines="0" tabSelected="1" view="pageBreakPreview" zoomScale="85" zoomScaleNormal="85" zoomScaleSheetLayoutView="85" zoomScalePageLayoutView="0" workbookViewId="0" topLeftCell="A1">
      <selection activeCell="Q15" sqref="Q15"/>
    </sheetView>
  </sheetViews>
  <sheetFormatPr defaultColWidth="9.140625" defaultRowHeight="15"/>
  <cols>
    <col min="1" max="37" width="9.140625" style="0" customWidth="1"/>
    <col min="38" max="157" width="0" style="0" hidden="1" customWidth="1"/>
    <col min="158" max="159" width="13.00390625" style="0" bestFit="1" customWidth="1"/>
    <col min="160" max="164" width="0" style="0" hidden="1" customWidth="1"/>
    <col min="165" max="165" width="9.140625" style="0" customWidth="1"/>
    <col min="166" max="173" width="0" style="0" hidden="1" customWidth="1"/>
    <col min="174" max="175" width="13.00390625" style="0" bestFit="1" customWidth="1"/>
    <col min="176" max="180" width="0" style="0" hidden="1" customWidth="1"/>
    <col min="181" max="182" width="9.140625" style="0" customWidth="1"/>
  </cols>
  <sheetData>
    <row r="12" spans="156:175" ht="15">
      <c r="EZ12" s="72"/>
      <c r="FB12" s="72">
        <v>63.78240299696968</v>
      </c>
      <c r="FC12">
        <v>62.98628807844859</v>
      </c>
      <c r="FP12" s="72"/>
      <c r="FR12" s="72">
        <v>63.78240299696968</v>
      </c>
      <c r="FS12">
        <v>62.98628807844859</v>
      </c>
    </row>
    <row r="14" spans="158:175" ht="15">
      <c r="FB14">
        <v>557.0029083378097</v>
      </c>
      <c r="FC14">
        <v>557.342226033349</v>
      </c>
      <c r="FR14">
        <v>557.0029083378097</v>
      </c>
      <c r="FS14">
        <v>557.342226033349</v>
      </c>
    </row>
    <row r="18" spans="158:175" ht="15">
      <c r="FB18">
        <v>0</v>
      </c>
      <c r="FC18">
        <v>60.396672817945905</v>
      </c>
      <c r="FR18">
        <v>0</v>
      </c>
      <c r="FS18">
        <v>60.396672817945905</v>
      </c>
    </row>
    <row r="20" spans="158:175" ht="15">
      <c r="FB20">
        <v>0</v>
      </c>
      <c r="FC20">
        <v>-35.74520759934908</v>
      </c>
      <c r="FR20">
        <v>0</v>
      </c>
      <c r="FS20">
        <v>-35.74520759934908</v>
      </c>
    </row>
    <row r="24" spans="158:175" ht="15">
      <c r="FB24">
        <v>0</v>
      </c>
      <c r="FC24">
        <v>2.5896152605026797</v>
      </c>
      <c r="FR24">
        <v>0</v>
      </c>
      <c r="FS24">
        <v>2.5896152605026797</v>
      </c>
    </row>
    <row r="32" spans="158:175" ht="15">
      <c r="FB32" s="73"/>
      <c r="FC32" s="73"/>
      <c r="FR32" s="73"/>
      <c r="FS32" s="73"/>
    </row>
    <row r="48" spans="159:175" ht="15">
      <c r="FC48" s="73"/>
      <c r="FS48" s="73"/>
    </row>
    <row r="50" spans="158:175" ht="15">
      <c r="FB50" s="74"/>
      <c r="FC50" s="74"/>
      <c r="FR50" s="74"/>
      <c r="FS50" s="74"/>
    </row>
    <row r="52" spans="157:175" ht="15">
      <c r="FA52" s="74"/>
      <c r="FB52" s="74"/>
      <c r="FC52" s="74"/>
      <c r="FQ52" s="74"/>
      <c r="FR52" s="74"/>
      <c r="FS52" s="74"/>
    </row>
    <row r="56" spans="157:175" ht="15">
      <c r="FA56" s="74"/>
      <c r="FB56" s="74"/>
      <c r="FC56" s="74"/>
      <c r="FQ56" s="74"/>
      <c r="FR56" s="74"/>
      <c r="FS56" s="74"/>
    </row>
    <row r="64" spans="158:175" ht="15">
      <c r="FB64" s="74"/>
      <c r="FC64" s="74"/>
      <c r="FR64" s="74"/>
      <c r="FS64" s="74"/>
    </row>
    <row r="73" ht="15">
      <c r="GH73" t="e">
        <f>+AVERAGE(ET73:EV73,EX73:EZ73,FB73:FD73,FF73:FH73)</f>
        <v>#DIV/0!</v>
      </c>
    </row>
    <row r="74" spans="159:175" ht="15">
      <c r="FC74">
        <v>13.728100928631815</v>
      </c>
      <c r="FS74">
        <v>13.728100928631815</v>
      </c>
    </row>
    <row r="75" ht="15">
      <c r="GH75" t="e">
        <f>+AVERAGE(ET75:EV75,EX75:EZ75,FB75:FD75,FF75:FH75)</f>
        <v>#DIV/0!</v>
      </c>
    </row>
    <row r="76" spans="159:175" ht="15">
      <c r="FC76">
        <v>15.247264312473453</v>
      </c>
      <c r="FS76">
        <v>15.247264312473453</v>
      </c>
    </row>
    <row r="77" ht="15">
      <c r="GH77" t="e">
        <f>+AVERAGE(ET77:EV77,EX77:EZ77,FB77:FD77,FF77:FH77)</f>
        <v>#DIV/0!</v>
      </c>
    </row>
    <row r="83" ht="15">
      <c r="GH83" t="e">
        <f>+AVERAGE(ET83:EV83,EX83:EZ83,FB83:FD83,FF83:FH83)</f>
        <v>#DIV/0!</v>
      </c>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Rodolfo Andres De los Santos Montero</cp:lastModifiedBy>
  <cp:lastPrinted>2022-03-08T18:12:32Z</cp:lastPrinted>
  <dcterms:created xsi:type="dcterms:W3CDTF">2014-09-23T23:42:05Z</dcterms:created>
  <dcterms:modified xsi:type="dcterms:W3CDTF">2022-03-08T21:06:39Z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