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villanueva\Documents\CONTROL DE GESTION\2017\Enviado a Oficina Transparencia\"/>
    </mc:Choice>
  </mc:AlternateContent>
  <bookViews>
    <workbookView xWindow="0" yWindow="0" windowWidth="11655" windowHeight="5865"/>
  </bookViews>
  <sheets>
    <sheet name="Ejecución Presupuestaria" sheetId="5" r:id="rId1"/>
    <sheet name="Ejecución Presupuestaria." sheetId="2" state="hidden" r:id="rId2"/>
    <sheet name="Evolutivo FC " sheetId="3" state="hidden" r:id="rId3"/>
  </sheets>
  <definedNames>
    <definedName name="_xlnm.Print_Area" localSheetId="0">'Ejecución Presupuestaria'!$A$1:$K$30</definedName>
    <definedName name="_xlnm.Print_Area" localSheetId="1">'Ejecución Presupuestaria.'!$B$1:$L$49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2" l="1"/>
  <c r="K32" i="2"/>
  <c r="J33" i="2"/>
  <c r="K33" i="2"/>
  <c r="J34" i="2"/>
  <c r="K34" i="2"/>
  <c r="J35" i="2"/>
  <c r="K35" i="2"/>
  <c r="J36" i="2"/>
  <c r="K36" i="2"/>
  <c r="F32" i="2"/>
  <c r="G32" i="2"/>
  <c r="H32" i="2"/>
  <c r="I32" i="2"/>
  <c r="F33" i="2"/>
  <c r="G33" i="2"/>
  <c r="H33" i="2"/>
  <c r="I33" i="2"/>
  <c r="F34" i="2"/>
  <c r="G34" i="2"/>
  <c r="H34" i="2"/>
  <c r="I34" i="2"/>
  <c r="F35" i="2"/>
  <c r="G35" i="2"/>
  <c r="H35" i="2"/>
  <c r="I35" i="2"/>
  <c r="F36" i="2"/>
  <c r="G36" i="2"/>
  <c r="H36" i="2"/>
  <c r="I36" i="2"/>
  <c r="E36" i="2"/>
  <c r="E35" i="2"/>
  <c r="E34" i="2"/>
  <c r="E33" i="2"/>
  <c r="E32" i="2"/>
  <c r="F37" i="2"/>
  <c r="G37" i="2"/>
  <c r="H37" i="2"/>
  <c r="I37" i="2"/>
  <c r="J37" i="2"/>
  <c r="K37" i="2"/>
  <c r="F38" i="2"/>
  <c r="G38" i="2"/>
  <c r="H38" i="2"/>
  <c r="I38" i="2"/>
  <c r="J38" i="2"/>
  <c r="K38" i="2"/>
  <c r="E38" i="2"/>
  <c r="E37" i="2"/>
  <c r="D37" i="2"/>
  <c r="D25" i="2" l="1"/>
  <c r="C25" i="2"/>
  <c r="F25" i="2"/>
  <c r="G25" i="2"/>
  <c r="H25" i="2"/>
  <c r="I25" i="2"/>
  <c r="J25" i="2"/>
  <c r="K25" i="2"/>
  <c r="E25" i="2"/>
  <c r="F13" i="2"/>
  <c r="G13" i="2"/>
  <c r="H13" i="2"/>
  <c r="I13" i="2"/>
  <c r="J13" i="2"/>
  <c r="K13" i="2"/>
  <c r="E13" i="2"/>
  <c r="D16" i="2" l="1"/>
  <c r="C16" i="2"/>
  <c r="D39" i="2" l="1"/>
  <c r="F11" i="2"/>
  <c r="G11" i="2"/>
  <c r="H11" i="2"/>
  <c r="I11" i="2"/>
  <c r="J11" i="2"/>
  <c r="E11" i="2"/>
  <c r="K12" i="2" l="1"/>
  <c r="K11" i="2"/>
  <c r="L13" i="2"/>
  <c r="F39" i="2"/>
  <c r="G39" i="2"/>
  <c r="H39" i="2"/>
  <c r="I39" i="2"/>
  <c r="J39" i="2"/>
  <c r="K39" i="2"/>
  <c r="E39" i="2"/>
  <c r="D13" i="2" l="1"/>
  <c r="D12" i="2" s="1"/>
  <c r="C13" i="2"/>
  <c r="C12" i="2" s="1"/>
  <c r="D32" i="2"/>
  <c r="D33" i="2"/>
  <c r="D34" i="2"/>
  <c r="D35" i="2"/>
  <c r="D38" i="2"/>
  <c r="C38" i="2"/>
  <c r="C37" i="2"/>
  <c r="C35" i="2"/>
  <c r="C34" i="2"/>
  <c r="C33" i="2"/>
  <c r="C32" i="2"/>
  <c r="D31" i="2" l="1"/>
  <c r="C31" i="2"/>
  <c r="C43" i="2"/>
  <c r="D43" i="2"/>
  <c r="C44" i="2"/>
  <c r="D44" i="2"/>
  <c r="C45" i="2"/>
  <c r="D45" i="2"/>
  <c r="D42" i="2"/>
  <c r="C42" i="2"/>
  <c r="D20" i="2"/>
  <c r="D21" i="2"/>
  <c r="D22" i="2"/>
  <c r="D23" i="2"/>
  <c r="D24" i="2"/>
  <c r="D26" i="2"/>
  <c r="D27" i="2"/>
  <c r="D28" i="2"/>
  <c r="D19" i="2"/>
  <c r="C20" i="2"/>
  <c r="C21" i="2"/>
  <c r="C22" i="2"/>
  <c r="C23" i="2"/>
  <c r="C24" i="2"/>
  <c r="C26" i="2"/>
  <c r="C27" i="2"/>
  <c r="C28" i="2"/>
  <c r="C19" i="2"/>
  <c r="L39" i="2" l="1"/>
  <c r="C41" i="2"/>
  <c r="C40" i="2" s="1"/>
  <c r="D41" i="2"/>
  <c r="D40" i="2" s="1"/>
  <c r="C30" i="2"/>
  <c r="D30" i="2"/>
  <c r="C18" i="2"/>
  <c r="D18" i="2"/>
  <c r="F16" i="2"/>
  <c r="G16" i="2"/>
  <c r="H16" i="2"/>
  <c r="I16" i="2"/>
  <c r="J16" i="2"/>
  <c r="K16" i="2"/>
  <c r="E16" i="2"/>
  <c r="L11" i="2"/>
  <c r="K10" i="2"/>
  <c r="F12" i="2"/>
  <c r="I12" i="2"/>
  <c r="I10" i="2" s="1"/>
  <c r="F42" i="2"/>
  <c r="G42" i="2"/>
  <c r="H42" i="2"/>
  <c r="I42" i="2"/>
  <c r="J42" i="2"/>
  <c r="K42" i="2"/>
  <c r="F43" i="2"/>
  <c r="G43" i="2"/>
  <c r="H43" i="2"/>
  <c r="I43" i="2"/>
  <c r="J43" i="2"/>
  <c r="K43" i="2"/>
  <c r="F44" i="2"/>
  <c r="G44" i="2"/>
  <c r="H44" i="2"/>
  <c r="I44" i="2"/>
  <c r="J44" i="2"/>
  <c r="K44" i="2"/>
  <c r="F45" i="2"/>
  <c r="G45" i="2"/>
  <c r="H45" i="2"/>
  <c r="I45" i="2"/>
  <c r="J45" i="2"/>
  <c r="K45" i="2"/>
  <c r="E43" i="2"/>
  <c r="E44" i="2"/>
  <c r="E45" i="2"/>
  <c r="E42" i="2"/>
  <c r="L38" i="2"/>
  <c r="AE212" i="3"/>
  <c r="AE214" i="3" s="1"/>
  <c r="AD212" i="3"/>
  <c r="AD214" i="3" s="1"/>
  <c r="AI202" i="3"/>
  <c r="AH202" i="3"/>
  <c r="AG202" i="3"/>
  <c r="AF202" i="3"/>
  <c r="AE202" i="3"/>
  <c r="AD202" i="3"/>
  <c r="AI201" i="3"/>
  <c r="AH201" i="3"/>
  <c r="AG201" i="3"/>
  <c r="AF201" i="3"/>
  <c r="AE201" i="3"/>
  <c r="AD201" i="3"/>
  <c r="AI200" i="3"/>
  <c r="AH200" i="3"/>
  <c r="AG200" i="3"/>
  <c r="AF200" i="3"/>
  <c r="AE200" i="3"/>
  <c r="AD200" i="3"/>
  <c r="AI192" i="3"/>
  <c r="AH192" i="3"/>
  <c r="AG192" i="3"/>
  <c r="AF192" i="3"/>
  <c r="AE192" i="3"/>
  <c r="AD192" i="3"/>
  <c r="AB192" i="3"/>
  <c r="AA192" i="3"/>
  <c r="Z192" i="3"/>
  <c r="Z193" i="3" s="1"/>
  <c r="Y192" i="3"/>
  <c r="X192" i="3"/>
  <c r="W192" i="3"/>
  <c r="V192" i="3"/>
  <c r="U192" i="3"/>
  <c r="T192" i="3"/>
  <c r="S192" i="3"/>
  <c r="R192" i="3"/>
  <c r="Q192" i="3"/>
  <c r="AI191" i="3"/>
  <c r="AH191" i="3"/>
  <c r="AH193" i="3" s="1"/>
  <c r="AG191" i="3"/>
  <c r="AF191" i="3"/>
  <c r="AE191" i="3"/>
  <c r="AD191" i="3"/>
  <c r="AD193" i="3" s="1"/>
  <c r="AB191" i="3"/>
  <c r="AB193" i="3" s="1"/>
  <c r="AA191" i="3"/>
  <c r="Z191" i="3"/>
  <c r="Y191" i="3"/>
  <c r="X191" i="3"/>
  <c r="X193" i="3" s="1"/>
  <c r="W191" i="3"/>
  <c r="V191" i="3"/>
  <c r="U191" i="3"/>
  <c r="T191" i="3"/>
  <c r="T193" i="3" s="1"/>
  <c r="S191" i="3"/>
  <c r="R191" i="3"/>
  <c r="Q191" i="3"/>
  <c r="AC187" i="3"/>
  <c r="AI184" i="3"/>
  <c r="AH184" i="3"/>
  <c r="AG184" i="3"/>
  <c r="AF184" i="3"/>
  <c r="AE184" i="3"/>
  <c r="AD184" i="3"/>
  <c r="AB184" i="3"/>
  <c r="AA184" i="3"/>
  <c r="Z184" i="3"/>
  <c r="Y184" i="3"/>
  <c r="X184" i="3"/>
  <c r="W184" i="3"/>
  <c r="V184" i="3"/>
  <c r="U184" i="3"/>
  <c r="T184" i="3"/>
  <c r="S184" i="3"/>
  <c r="R184" i="3"/>
  <c r="AI183" i="3"/>
  <c r="AH183" i="3"/>
  <c r="AG183" i="3"/>
  <c r="AF183" i="3"/>
  <c r="AE183" i="3"/>
  <c r="AD183" i="3"/>
  <c r="AB183" i="3"/>
  <c r="AA183" i="3"/>
  <c r="Z183" i="3"/>
  <c r="Y183" i="3"/>
  <c r="X183" i="3"/>
  <c r="W183" i="3"/>
  <c r="V183" i="3"/>
  <c r="U183" i="3"/>
  <c r="T183" i="3"/>
  <c r="S183" i="3"/>
  <c r="R183" i="3"/>
  <c r="Q183" i="3"/>
  <c r="AI182" i="3"/>
  <c r="AH182" i="3"/>
  <c r="AG182" i="3"/>
  <c r="AF182" i="3"/>
  <c r="AE182" i="3"/>
  <c r="AD182" i="3"/>
  <c r="AB182" i="3"/>
  <c r="AA182" i="3"/>
  <c r="Z182" i="3"/>
  <c r="Y182" i="3"/>
  <c r="X182" i="3"/>
  <c r="W182" i="3"/>
  <c r="V182" i="3"/>
  <c r="U182" i="3"/>
  <c r="T182" i="3"/>
  <c r="S182" i="3"/>
  <c r="R182" i="3"/>
  <c r="Q182" i="3"/>
  <c r="AI181" i="3"/>
  <c r="AH181" i="3"/>
  <c r="AG181" i="3"/>
  <c r="AF181" i="3"/>
  <c r="AE181" i="3"/>
  <c r="AD181" i="3"/>
  <c r="AB181" i="3"/>
  <c r="AA181" i="3"/>
  <c r="Z181" i="3"/>
  <c r="Y181" i="3"/>
  <c r="X181" i="3"/>
  <c r="W181" i="3"/>
  <c r="V181" i="3"/>
  <c r="U181" i="3"/>
  <c r="T181" i="3"/>
  <c r="S181" i="3"/>
  <c r="R181" i="3"/>
  <c r="Q181" i="3"/>
  <c r="AI178" i="3"/>
  <c r="AH178" i="3"/>
  <c r="AG178" i="3"/>
  <c r="AF178" i="3"/>
  <c r="AE178" i="3"/>
  <c r="AD178" i="3"/>
  <c r="AI174" i="3"/>
  <c r="AH174" i="3"/>
  <c r="AG174" i="3"/>
  <c r="AF174" i="3"/>
  <c r="AE174" i="3"/>
  <c r="AD174" i="3"/>
  <c r="AB174" i="3"/>
  <c r="AA174" i="3"/>
  <c r="Z174" i="3"/>
  <c r="Y174" i="3"/>
  <c r="X174" i="3"/>
  <c r="W174" i="3"/>
  <c r="V174" i="3"/>
  <c r="U174" i="3"/>
  <c r="T174" i="3"/>
  <c r="S174" i="3"/>
  <c r="R174" i="3"/>
  <c r="Q174" i="3"/>
  <c r="AI173" i="3"/>
  <c r="AH173" i="3"/>
  <c r="AG173" i="3"/>
  <c r="AF173" i="3"/>
  <c r="AE173" i="3"/>
  <c r="AD173" i="3"/>
  <c r="AB173" i="3"/>
  <c r="AA173" i="3"/>
  <c r="Z173" i="3"/>
  <c r="Y173" i="3"/>
  <c r="X173" i="3"/>
  <c r="W173" i="3"/>
  <c r="V173" i="3"/>
  <c r="U173" i="3"/>
  <c r="T173" i="3"/>
  <c r="S173" i="3"/>
  <c r="R173" i="3"/>
  <c r="Q173" i="3"/>
  <c r="AI172" i="3"/>
  <c r="AH172" i="3"/>
  <c r="AG172" i="3"/>
  <c r="AF172" i="3"/>
  <c r="AE172" i="3"/>
  <c r="AD172" i="3"/>
  <c r="AB172" i="3"/>
  <c r="AA172" i="3"/>
  <c r="Z172" i="3"/>
  <c r="Y172" i="3"/>
  <c r="X172" i="3"/>
  <c r="W172" i="3"/>
  <c r="V172" i="3"/>
  <c r="U172" i="3"/>
  <c r="T172" i="3"/>
  <c r="S172" i="3"/>
  <c r="R172" i="3"/>
  <c r="Q172" i="3"/>
  <c r="L170" i="3"/>
  <c r="K170" i="3"/>
  <c r="J170" i="3"/>
  <c r="I170" i="3"/>
  <c r="H170" i="3"/>
  <c r="G170" i="3"/>
  <c r="F170" i="3"/>
  <c r="E170" i="3"/>
  <c r="K162" i="3"/>
  <c r="J162" i="3"/>
  <c r="I162" i="3"/>
  <c r="H162" i="3"/>
  <c r="G162" i="3"/>
  <c r="F162" i="3"/>
  <c r="E162" i="3"/>
  <c r="E160" i="3"/>
  <c r="E161" i="3" s="1"/>
  <c r="AC146" i="3"/>
  <c r="O142" i="3"/>
  <c r="O145" i="3" s="1"/>
  <c r="L142" i="3"/>
  <c r="L145" i="3" s="1"/>
  <c r="K142" i="3"/>
  <c r="K145" i="3" s="1"/>
  <c r="J142" i="3"/>
  <c r="J145" i="3" s="1"/>
  <c r="I142" i="3"/>
  <c r="I145" i="3" s="1"/>
  <c r="H142" i="3"/>
  <c r="H145" i="3" s="1"/>
  <c r="G142" i="3"/>
  <c r="G145" i="3" s="1"/>
  <c r="F142" i="3"/>
  <c r="F145" i="3" s="1"/>
  <c r="E142" i="3"/>
  <c r="E145" i="3" s="1"/>
  <c r="Z138" i="3"/>
  <c r="AC137" i="3"/>
  <c r="AT136" i="3"/>
  <c r="AT135" i="3"/>
  <c r="AT134" i="3"/>
  <c r="AT133" i="3"/>
  <c r="AT132" i="3"/>
  <c r="AT129" i="3"/>
  <c r="AT128" i="3"/>
  <c r="AT127" i="3"/>
  <c r="AT126" i="3"/>
  <c r="AT125" i="3"/>
  <c r="AT124" i="3"/>
  <c r="AM119" i="3"/>
  <c r="AC119" i="3"/>
  <c r="AC174" i="3" s="1"/>
  <c r="I119" i="3"/>
  <c r="G119" i="3"/>
  <c r="E119" i="3"/>
  <c r="Q115" i="3"/>
  <c r="AT108" i="3"/>
  <c r="AC108" i="3"/>
  <c r="AT107" i="3"/>
  <c r="AM107" i="3"/>
  <c r="AC107" i="3"/>
  <c r="AJ105" i="3"/>
  <c r="AI105" i="3"/>
  <c r="AH105" i="3"/>
  <c r="AG105" i="3"/>
  <c r="AF105" i="3"/>
  <c r="AE105" i="3"/>
  <c r="AD105" i="3"/>
  <c r="AB105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I105" i="3"/>
  <c r="H105" i="3"/>
  <c r="G105" i="3"/>
  <c r="F105" i="3"/>
  <c r="E105" i="3"/>
  <c r="AC104" i="3"/>
  <c r="J104" i="3"/>
  <c r="AC103" i="3"/>
  <c r="AC102" i="3"/>
  <c r="AC101" i="3"/>
  <c r="AC100" i="3"/>
  <c r="J100" i="3"/>
  <c r="AC99" i="3"/>
  <c r="AC98" i="3"/>
  <c r="AC97" i="3"/>
  <c r="J97" i="3"/>
  <c r="AJ96" i="3"/>
  <c r="AJ109" i="3" s="1"/>
  <c r="AI96" i="3"/>
  <c r="AI109" i="3" s="1"/>
  <c r="AH96" i="3"/>
  <c r="AG96" i="3"/>
  <c r="AF96" i="3"/>
  <c r="AF109" i="3" s="1"/>
  <c r="AE96" i="3"/>
  <c r="AD96" i="3"/>
  <c r="AB96" i="3"/>
  <c r="AA96" i="3"/>
  <c r="AA109" i="3" s="1"/>
  <c r="Z96" i="3"/>
  <c r="Y96" i="3"/>
  <c r="X96" i="3"/>
  <c r="W96" i="3"/>
  <c r="W109" i="3" s="1"/>
  <c r="V96" i="3"/>
  <c r="U96" i="3"/>
  <c r="T96" i="3"/>
  <c r="S96" i="3"/>
  <c r="S109" i="3" s="1"/>
  <c r="R96" i="3"/>
  <c r="Q96" i="3"/>
  <c r="P96" i="3"/>
  <c r="O96" i="3"/>
  <c r="O109" i="3" s="1"/>
  <c r="AT109" i="3" s="1"/>
  <c r="AV109" i="3" s="1"/>
  <c r="N96" i="3"/>
  <c r="M96" i="3"/>
  <c r="L96" i="3"/>
  <c r="K96" i="3"/>
  <c r="K109" i="3" s="1"/>
  <c r="J96" i="3"/>
  <c r="I96" i="3"/>
  <c r="H96" i="3"/>
  <c r="G96" i="3"/>
  <c r="F96" i="3"/>
  <c r="F109" i="3" s="1"/>
  <c r="E96" i="3"/>
  <c r="AU95" i="3"/>
  <c r="AT95" i="3"/>
  <c r="AC95" i="3"/>
  <c r="AU94" i="3"/>
  <c r="AT94" i="3"/>
  <c r="AC94" i="3"/>
  <c r="AU93" i="3"/>
  <c r="AT93" i="3"/>
  <c r="AC93" i="3"/>
  <c r="AU92" i="3"/>
  <c r="AT92" i="3"/>
  <c r="AC92" i="3"/>
  <c r="AC182" i="3" s="1"/>
  <c r="AU91" i="3"/>
  <c r="AT91" i="3"/>
  <c r="AC91" i="3"/>
  <c r="AU90" i="3"/>
  <c r="AT90" i="3"/>
  <c r="AC90" i="3"/>
  <c r="AU89" i="3"/>
  <c r="AT89" i="3"/>
  <c r="AM89" i="3"/>
  <c r="AC89" i="3"/>
  <c r="AC181" i="3" s="1"/>
  <c r="AU88" i="3"/>
  <c r="AT88" i="3"/>
  <c r="AC88" i="3"/>
  <c r="AU87" i="3"/>
  <c r="AT87" i="3"/>
  <c r="AC87" i="3"/>
  <c r="AU86" i="3"/>
  <c r="AT86" i="3"/>
  <c r="AC86" i="3"/>
  <c r="AC192" i="3" s="1"/>
  <c r="AJ83" i="3"/>
  <c r="AI83" i="3"/>
  <c r="AH83" i="3"/>
  <c r="AH180" i="3" s="1"/>
  <c r="AG83" i="3"/>
  <c r="AG180" i="3" s="1"/>
  <c r="AF83" i="3"/>
  <c r="AE83" i="3"/>
  <c r="AE180" i="3" s="1"/>
  <c r="AD83" i="3"/>
  <c r="AD180" i="3" s="1"/>
  <c r="AB83" i="3"/>
  <c r="AA83" i="3"/>
  <c r="AA180" i="3" s="1"/>
  <c r="Z83" i="3"/>
  <c r="Z180" i="3" s="1"/>
  <c r="Y83" i="3"/>
  <c r="Y180" i="3" s="1"/>
  <c r="X83" i="3"/>
  <c r="W83" i="3"/>
  <c r="V83" i="3"/>
  <c r="V180" i="3" s="1"/>
  <c r="U83" i="3"/>
  <c r="T83" i="3"/>
  <c r="S83" i="3"/>
  <c r="S180" i="3" s="1"/>
  <c r="R83" i="3"/>
  <c r="R180" i="3" s="1"/>
  <c r="Q83" i="3"/>
  <c r="P83" i="3"/>
  <c r="O83" i="3"/>
  <c r="AT83" i="3" s="1"/>
  <c r="N83" i="3"/>
  <c r="M83" i="3"/>
  <c r="L83" i="3"/>
  <c r="K83" i="3"/>
  <c r="J83" i="3"/>
  <c r="I83" i="3"/>
  <c r="H83" i="3"/>
  <c r="G83" i="3"/>
  <c r="F83" i="3"/>
  <c r="E83" i="3"/>
  <c r="AT82" i="3"/>
  <c r="AC82" i="3"/>
  <c r="AT81" i="3"/>
  <c r="AC81" i="3"/>
  <c r="AT80" i="3"/>
  <c r="AC80" i="3"/>
  <c r="AT79" i="3"/>
  <c r="AC79" i="3"/>
  <c r="AT78" i="3"/>
  <c r="AC78" i="3"/>
  <c r="AJ76" i="3"/>
  <c r="AI76" i="3"/>
  <c r="AI179" i="3" s="1"/>
  <c r="AH76" i="3"/>
  <c r="AH179" i="3" s="1"/>
  <c r="AG76" i="3"/>
  <c r="AG179" i="3" s="1"/>
  <c r="AF76" i="3"/>
  <c r="AF179" i="3" s="1"/>
  <c r="AE76" i="3"/>
  <c r="AE179" i="3" s="1"/>
  <c r="AD76" i="3"/>
  <c r="AD179" i="3" s="1"/>
  <c r="AB76" i="3"/>
  <c r="AB179" i="3" s="1"/>
  <c r="AA76" i="3"/>
  <c r="Z76" i="3"/>
  <c r="Z179" i="3" s="1"/>
  <c r="Y76" i="3"/>
  <c r="Y179" i="3" s="1"/>
  <c r="X76" i="3"/>
  <c r="X179" i="3" s="1"/>
  <c r="W76" i="3"/>
  <c r="W179" i="3" s="1"/>
  <c r="V76" i="3"/>
  <c r="V179" i="3" s="1"/>
  <c r="U76" i="3"/>
  <c r="U179" i="3" s="1"/>
  <c r="T76" i="3"/>
  <c r="T179" i="3" s="1"/>
  <c r="S76" i="3"/>
  <c r="S179" i="3" s="1"/>
  <c r="R76" i="3"/>
  <c r="R179" i="3" s="1"/>
  <c r="Q76" i="3"/>
  <c r="Q179" i="3" s="1"/>
  <c r="P76" i="3"/>
  <c r="O76" i="3"/>
  <c r="N76" i="3"/>
  <c r="M76" i="3"/>
  <c r="L76" i="3"/>
  <c r="K76" i="3"/>
  <c r="J76" i="3"/>
  <c r="J84" i="3" s="1"/>
  <c r="I76" i="3"/>
  <c r="H76" i="3"/>
  <c r="G76" i="3"/>
  <c r="F76" i="3"/>
  <c r="E76" i="3"/>
  <c r="AC75" i="3"/>
  <c r="AC74" i="3"/>
  <c r="AC73" i="3"/>
  <c r="AC72" i="3"/>
  <c r="AC71" i="3"/>
  <c r="AC70" i="3"/>
  <c r="AC69" i="3"/>
  <c r="AC68" i="3"/>
  <c r="AC67" i="3"/>
  <c r="AC66" i="3"/>
  <c r="AC65" i="3"/>
  <c r="AC64" i="3"/>
  <c r="AC63" i="3"/>
  <c r="AC62" i="3"/>
  <c r="AC61" i="3"/>
  <c r="AC60" i="3"/>
  <c r="AC59" i="3"/>
  <c r="AC58" i="3"/>
  <c r="AC57" i="3"/>
  <c r="AC56" i="3"/>
  <c r="AJ53" i="3"/>
  <c r="AI53" i="3"/>
  <c r="AH53" i="3"/>
  <c r="AG53" i="3"/>
  <c r="AF53" i="3"/>
  <c r="AE53" i="3"/>
  <c r="AD53" i="3"/>
  <c r="AB53" i="3"/>
  <c r="AA53" i="3"/>
  <c r="AA178" i="3" s="1"/>
  <c r="Z53" i="3"/>
  <c r="Y53" i="3"/>
  <c r="Y178" i="3" s="1"/>
  <c r="X53" i="3"/>
  <c r="W53" i="3"/>
  <c r="W178" i="3" s="1"/>
  <c r="V53" i="3"/>
  <c r="U53" i="3"/>
  <c r="U178" i="3" s="1"/>
  <c r="T53" i="3"/>
  <c r="S53" i="3"/>
  <c r="S178" i="3" s="1"/>
  <c r="R53" i="3"/>
  <c r="R178" i="3" s="1"/>
  <c r="Q53" i="3"/>
  <c r="AT53" i="3" s="1"/>
  <c r="N53" i="3"/>
  <c r="AU53" i="3" s="1"/>
  <c r="M53" i="3"/>
  <c r="L53" i="3"/>
  <c r="K53" i="3"/>
  <c r="J53" i="3"/>
  <c r="J54" i="3" s="1"/>
  <c r="H53" i="3"/>
  <c r="G53" i="3"/>
  <c r="F53" i="3"/>
  <c r="E53" i="3"/>
  <c r="AC52" i="3"/>
  <c r="AC51" i="3"/>
  <c r="AC50" i="3"/>
  <c r="AC49" i="3"/>
  <c r="AC48" i="3"/>
  <c r="AW47" i="3"/>
  <c r="AV47" i="3"/>
  <c r="AT47" i="3"/>
  <c r="AS47" i="3"/>
  <c r="AC47" i="3"/>
  <c r="AC46" i="3"/>
  <c r="P46" i="3"/>
  <c r="P53" i="3" s="1"/>
  <c r="O46" i="3"/>
  <c r="I46" i="3"/>
  <c r="I53" i="3" s="1"/>
  <c r="AT45" i="3"/>
  <c r="AC45" i="3"/>
  <c r="AJ41" i="3"/>
  <c r="AI41" i="3"/>
  <c r="AH41" i="3"/>
  <c r="AG41" i="3"/>
  <c r="AF41" i="3"/>
  <c r="AE41" i="3"/>
  <c r="AD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AT41" i="3" s="1"/>
  <c r="N41" i="3"/>
  <c r="M41" i="3"/>
  <c r="L41" i="3"/>
  <c r="K41" i="3"/>
  <c r="J41" i="3"/>
  <c r="I41" i="3"/>
  <c r="H41" i="3"/>
  <c r="G41" i="3"/>
  <c r="F41" i="3"/>
  <c r="E41" i="3"/>
  <c r="AC40" i="3"/>
  <c r="AC39" i="3"/>
  <c r="AC41" i="3" s="1"/>
  <c r="AJ37" i="3"/>
  <c r="AI37" i="3"/>
  <c r="AH37" i="3"/>
  <c r="AG37" i="3"/>
  <c r="AF37" i="3"/>
  <c r="AE37" i="3"/>
  <c r="AD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AT37" i="3" s="1"/>
  <c r="N37" i="3"/>
  <c r="M37" i="3"/>
  <c r="L37" i="3"/>
  <c r="K37" i="3"/>
  <c r="J37" i="3"/>
  <c r="I37" i="3"/>
  <c r="H37" i="3"/>
  <c r="G37" i="3"/>
  <c r="F37" i="3"/>
  <c r="E37" i="3"/>
  <c r="AT35" i="3"/>
  <c r="AC35" i="3"/>
  <c r="AC172" i="3" s="1"/>
  <c r="AC34" i="3"/>
  <c r="AC33" i="3"/>
  <c r="AC32" i="3"/>
  <c r="AT31" i="3"/>
  <c r="AC31" i="3"/>
  <c r="AT30" i="3"/>
  <c r="AC30" i="3"/>
  <c r="AJ27" i="3"/>
  <c r="AI27" i="3"/>
  <c r="AH27" i="3"/>
  <c r="AG27" i="3"/>
  <c r="AF27" i="3"/>
  <c r="AE27" i="3"/>
  <c r="AD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J27" i="3"/>
  <c r="I27" i="3"/>
  <c r="H27" i="3"/>
  <c r="G27" i="3"/>
  <c r="F27" i="3"/>
  <c r="E27" i="3"/>
  <c r="AC26" i="3"/>
  <c r="K26" i="3"/>
  <c r="AC25" i="3"/>
  <c r="AC24" i="3"/>
  <c r="AC23" i="3"/>
  <c r="AC22" i="3"/>
  <c r="AC21" i="3"/>
  <c r="AC20" i="3"/>
  <c r="K20" i="3"/>
  <c r="AC19" i="3"/>
  <c r="K19" i="3"/>
  <c r="AJ17" i="3"/>
  <c r="AI17" i="3"/>
  <c r="AI171" i="3" s="1"/>
  <c r="AH17" i="3"/>
  <c r="AH171" i="3" s="1"/>
  <c r="AH175" i="3" s="1"/>
  <c r="AG17" i="3"/>
  <c r="AG171" i="3" s="1"/>
  <c r="AF17" i="3"/>
  <c r="AF171" i="3" s="1"/>
  <c r="AE17" i="3"/>
  <c r="AE171" i="3" s="1"/>
  <c r="AD17" i="3"/>
  <c r="AD171" i="3" s="1"/>
  <c r="AB17" i="3"/>
  <c r="AB171" i="3" s="1"/>
  <c r="Z17" i="3"/>
  <c r="Z171" i="3" s="1"/>
  <c r="Y17" i="3"/>
  <c r="Y171" i="3" s="1"/>
  <c r="X17" i="3"/>
  <c r="W17" i="3"/>
  <c r="V17" i="3"/>
  <c r="V171" i="3" s="1"/>
  <c r="U17" i="3"/>
  <c r="U171" i="3" s="1"/>
  <c r="T17" i="3"/>
  <c r="T171" i="3" s="1"/>
  <c r="S17" i="3"/>
  <c r="S28" i="3" s="1"/>
  <c r="R17" i="3"/>
  <c r="R171" i="3" s="1"/>
  <c r="Q17" i="3"/>
  <c r="Q171" i="3" s="1"/>
  <c r="P17" i="3"/>
  <c r="P28" i="3" s="1"/>
  <c r="O17" i="3"/>
  <c r="O28" i="3" s="1"/>
  <c r="N17" i="3"/>
  <c r="M17" i="3"/>
  <c r="M28" i="3" s="1"/>
  <c r="M42" i="3" s="1"/>
  <c r="L17" i="3"/>
  <c r="K17" i="3"/>
  <c r="J17" i="3"/>
  <c r="I17" i="3"/>
  <c r="I28" i="3" s="1"/>
  <c r="I42" i="3" s="1"/>
  <c r="H17" i="3"/>
  <c r="G17" i="3"/>
  <c r="F17" i="3"/>
  <c r="E17" i="3"/>
  <c r="E28" i="3" s="1"/>
  <c r="E42" i="3" s="1"/>
  <c r="AC15" i="3"/>
  <c r="AC14" i="3"/>
  <c r="AA13" i="3"/>
  <c r="AC13" i="3" s="1"/>
  <c r="BD4" i="3"/>
  <c r="BE4" i="3" s="1"/>
  <c r="BD3" i="3"/>
  <c r="BE3" i="3" s="1"/>
  <c r="E20" i="2"/>
  <c r="F20" i="2"/>
  <c r="G20" i="2"/>
  <c r="H20" i="2"/>
  <c r="I20" i="2"/>
  <c r="J20" i="2"/>
  <c r="K20" i="2"/>
  <c r="E21" i="2"/>
  <c r="F21" i="2"/>
  <c r="G21" i="2"/>
  <c r="H21" i="2"/>
  <c r="I21" i="2"/>
  <c r="J21" i="2"/>
  <c r="K21" i="2"/>
  <c r="E22" i="2"/>
  <c r="F22" i="2"/>
  <c r="G22" i="2"/>
  <c r="H22" i="2"/>
  <c r="I22" i="2"/>
  <c r="J22" i="2"/>
  <c r="K22" i="2"/>
  <c r="E23" i="2"/>
  <c r="F23" i="2"/>
  <c r="G23" i="2"/>
  <c r="H23" i="2"/>
  <c r="I23" i="2"/>
  <c r="J23" i="2"/>
  <c r="K23" i="2"/>
  <c r="E24" i="2"/>
  <c r="F24" i="2"/>
  <c r="G24" i="2"/>
  <c r="H24" i="2"/>
  <c r="I24" i="2"/>
  <c r="J24" i="2"/>
  <c r="K24" i="2"/>
  <c r="E26" i="2"/>
  <c r="F26" i="2"/>
  <c r="G26" i="2"/>
  <c r="H26" i="2"/>
  <c r="I26" i="2"/>
  <c r="J26" i="2"/>
  <c r="K26" i="2"/>
  <c r="E27" i="2"/>
  <c r="F27" i="2"/>
  <c r="G27" i="2"/>
  <c r="H27" i="2"/>
  <c r="I27" i="2"/>
  <c r="J27" i="2"/>
  <c r="K27" i="2"/>
  <c r="E28" i="2"/>
  <c r="F28" i="2"/>
  <c r="G28" i="2"/>
  <c r="H28" i="2"/>
  <c r="I28" i="2"/>
  <c r="J28" i="2"/>
  <c r="K28" i="2"/>
  <c r="F19" i="2"/>
  <c r="G19" i="2"/>
  <c r="H19" i="2"/>
  <c r="I19" i="2"/>
  <c r="J19" i="2"/>
  <c r="K19" i="2"/>
  <c r="E19" i="2"/>
  <c r="Q175" i="3" l="1"/>
  <c r="U175" i="3"/>
  <c r="Y175" i="3"/>
  <c r="T175" i="3"/>
  <c r="T195" i="3" s="1"/>
  <c r="AF28" i="3"/>
  <c r="M109" i="3"/>
  <c r="AI28" i="3"/>
  <c r="E84" i="3"/>
  <c r="Q84" i="3"/>
  <c r="AV84" i="3"/>
  <c r="G109" i="3"/>
  <c r="AE203" i="3"/>
  <c r="AE28" i="3"/>
  <c r="AC17" i="3"/>
  <c r="AC171" i="3" s="1"/>
  <c r="H28" i="3"/>
  <c r="P42" i="3"/>
  <c r="K27" i="3"/>
  <c r="K28" i="3" s="1"/>
  <c r="K42" i="3" s="1"/>
  <c r="G28" i="3"/>
  <c r="L28" i="3"/>
  <c r="AG28" i="3"/>
  <c r="AG42" i="3" s="1"/>
  <c r="AG112" i="3" s="1"/>
  <c r="G84" i="3"/>
  <c r="G110" i="3" s="1"/>
  <c r="K84" i="3"/>
  <c r="O84" i="3"/>
  <c r="AT84" i="3" s="1"/>
  <c r="AA84" i="3"/>
  <c r="AA110" i="3" s="1"/>
  <c r="F84" i="3"/>
  <c r="F110" i="3" s="1"/>
  <c r="L109" i="3"/>
  <c r="P109" i="3"/>
  <c r="T109" i="3"/>
  <c r="T110" i="3" s="1"/>
  <c r="X109" i="3"/>
  <c r="AB109" i="3"/>
  <c r="AG109" i="3"/>
  <c r="J105" i="3"/>
  <c r="J109" i="3" s="1"/>
  <c r="J110" i="3" s="1"/>
  <c r="J112" i="3" s="1"/>
  <c r="AD203" i="3"/>
  <c r="D11" i="2"/>
  <c r="D10" i="2" s="1"/>
  <c r="C15" i="2"/>
  <c r="D15" i="2"/>
  <c r="D49" i="2" s="1"/>
  <c r="H12" i="2"/>
  <c r="H10" i="2" s="1"/>
  <c r="J12" i="2"/>
  <c r="J10" i="2" s="1"/>
  <c r="E12" i="2"/>
  <c r="E10" i="2" s="1"/>
  <c r="E47" i="2" s="1"/>
  <c r="G12" i="2"/>
  <c r="G10" i="2" s="1"/>
  <c r="L33" i="2"/>
  <c r="L37" i="2"/>
  <c r="H31" i="2"/>
  <c r="H30" i="2" s="1"/>
  <c r="G41" i="2"/>
  <c r="G40" i="2" s="1"/>
  <c r="D47" i="2"/>
  <c r="F18" i="2"/>
  <c r="L25" i="2"/>
  <c r="L21" i="2"/>
  <c r="H18" i="2"/>
  <c r="I18" i="2"/>
  <c r="K18" i="2"/>
  <c r="G18" i="2"/>
  <c r="I41" i="2"/>
  <c r="I40" i="2" s="1"/>
  <c r="L16" i="2"/>
  <c r="J18" i="2"/>
  <c r="E18" i="2"/>
  <c r="H41" i="2"/>
  <c r="H40" i="2" s="1"/>
  <c r="G31" i="2"/>
  <c r="G30" i="2" s="1"/>
  <c r="L45" i="2"/>
  <c r="F41" i="2"/>
  <c r="F40" i="2" s="1"/>
  <c r="L14" i="2"/>
  <c r="L28" i="2"/>
  <c r="L26" i="2"/>
  <c r="L24" i="2"/>
  <c r="L22" i="2"/>
  <c r="L20" i="2"/>
  <c r="L34" i="2"/>
  <c r="J41" i="2"/>
  <c r="J40" i="2" s="1"/>
  <c r="L42" i="2"/>
  <c r="F10" i="2"/>
  <c r="E31" i="2"/>
  <c r="E30" i="2" s="1"/>
  <c r="L36" i="2"/>
  <c r="K31" i="2"/>
  <c r="K30" i="2" s="1"/>
  <c r="I31" i="2"/>
  <c r="I30" i="2" s="1"/>
  <c r="I15" i="2" s="1"/>
  <c r="I49" i="2" s="1"/>
  <c r="I47" i="2"/>
  <c r="L19" i="2"/>
  <c r="L27" i="2"/>
  <c r="L23" i="2"/>
  <c r="L35" i="2"/>
  <c r="J31" i="2"/>
  <c r="J30" i="2" s="1"/>
  <c r="F31" i="2"/>
  <c r="F30" i="2" s="1"/>
  <c r="K41" i="2"/>
  <c r="K40" i="2" s="1"/>
  <c r="K47" i="2"/>
  <c r="L44" i="2"/>
  <c r="L43" i="2"/>
  <c r="E41" i="2"/>
  <c r="E40" i="2" s="1"/>
  <c r="L32" i="2"/>
  <c r="R175" i="3"/>
  <c r="Q180" i="3"/>
  <c r="V178" i="3"/>
  <c r="V185" i="3" s="1"/>
  <c r="AI84" i="3"/>
  <c r="AI110" i="3" s="1"/>
  <c r="AI180" i="3"/>
  <c r="AI185" i="3" s="1"/>
  <c r="AI188" i="3" s="1"/>
  <c r="X171" i="3"/>
  <c r="X175" i="3" s="1"/>
  <c r="X195" i="3" s="1"/>
  <c r="X28" i="3"/>
  <c r="X42" i="3" s="1"/>
  <c r="AG175" i="3"/>
  <c r="AJ28" i="3"/>
  <c r="AJ42" i="3" s="1"/>
  <c r="AB28" i="3"/>
  <c r="AB42" i="3" s="1"/>
  <c r="N109" i="3"/>
  <c r="N110" i="3" s="1"/>
  <c r="R109" i="3"/>
  <c r="V109" i="3"/>
  <c r="Z109" i="3"/>
  <c r="AE109" i="3"/>
  <c r="AC105" i="3"/>
  <c r="U180" i="3"/>
  <c r="U84" i="3"/>
  <c r="K110" i="3"/>
  <c r="N84" i="3"/>
  <c r="V84" i="3"/>
  <c r="V110" i="3" s="1"/>
  <c r="AF203" i="3"/>
  <c r="O42" i="3"/>
  <c r="AT42" i="3" s="1"/>
  <c r="S42" i="3"/>
  <c r="W171" i="3"/>
  <c r="W175" i="3" s="1"/>
  <c r="W28" i="3"/>
  <c r="W42" i="3" s="1"/>
  <c r="AB175" i="3"/>
  <c r="AB195" i="3" s="1"/>
  <c r="AF175" i="3"/>
  <c r="AC27" i="3"/>
  <c r="AC28" i="3" s="1"/>
  <c r="AT46" i="3"/>
  <c r="AV48" i="3" s="1"/>
  <c r="O53" i="3"/>
  <c r="S185" i="3"/>
  <c r="Z84" i="3"/>
  <c r="S171" i="3"/>
  <c r="S175" i="3" s="1"/>
  <c r="S197" i="3" s="1"/>
  <c r="U185" i="3"/>
  <c r="AJ152" i="3" s="1"/>
  <c r="AJ154" i="3" s="1"/>
  <c r="R193" i="3"/>
  <c r="H42" i="3"/>
  <c r="L42" i="3"/>
  <c r="G42" i="3"/>
  <c r="AF42" i="3"/>
  <c r="AC83" i="3"/>
  <c r="AC180" i="3" s="1"/>
  <c r="S84" i="3"/>
  <c r="S110" i="3" s="1"/>
  <c r="S112" i="3" s="1"/>
  <c r="W141" i="3"/>
  <c r="W143" i="3" s="1"/>
  <c r="AJ84" i="3"/>
  <c r="AJ110" i="3" s="1"/>
  <c r="AG84" i="3"/>
  <c r="AG110" i="3" s="1"/>
  <c r="H109" i="3"/>
  <c r="AI175" i="3"/>
  <c r="AI197" i="3" s="1"/>
  <c r="W180" i="3"/>
  <c r="AG185" i="3"/>
  <c r="AG188" i="3" s="1"/>
  <c r="V193" i="3"/>
  <c r="F28" i="3"/>
  <c r="F42" i="3" s="1"/>
  <c r="J28" i="3"/>
  <c r="J42" i="3" s="1"/>
  <c r="N28" i="3"/>
  <c r="N42" i="3" s="1"/>
  <c r="R28" i="3"/>
  <c r="R42" i="3" s="1"/>
  <c r="V28" i="3"/>
  <c r="V42" i="3" s="1"/>
  <c r="Z175" i="3"/>
  <c r="Z195" i="3" s="1"/>
  <c r="AE175" i="3"/>
  <c r="AE195" i="3" s="1"/>
  <c r="AD28" i="3"/>
  <c r="AD42" i="3" s="1"/>
  <c r="AH28" i="3"/>
  <c r="AH42" i="3" s="1"/>
  <c r="AC76" i="3"/>
  <c r="AC179" i="3" s="1"/>
  <c r="I84" i="3"/>
  <c r="M84" i="3"/>
  <c r="M110" i="3" s="1"/>
  <c r="M112" i="3" s="1"/>
  <c r="M122" i="3" s="1"/>
  <c r="H84" i="3"/>
  <c r="L84" i="3"/>
  <c r="L110" i="3" s="1"/>
  <c r="P84" i="3"/>
  <c r="P110" i="3" s="1"/>
  <c r="X84" i="3"/>
  <c r="AB84" i="3"/>
  <c r="AB110" i="3" s="1"/>
  <c r="AC96" i="3"/>
  <c r="AC109" i="3" s="1"/>
  <c r="AT96" i="3"/>
  <c r="E109" i="3"/>
  <c r="I109" i="3"/>
  <c r="Q109" i="3"/>
  <c r="Q110" i="3" s="1"/>
  <c r="U109" i="3"/>
  <c r="Y109" i="3"/>
  <c r="AD109" i="3"/>
  <c r="AH109" i="3"/>
  <c r="AD175" i="3"/>
  <c r="AF176" i="3" s="1"/>
  <c r="Q178" i="3"/>
  <c r="S193" i="3"/>
  <c r="W193" i="3"/>
  <c r="AA193" i="3"/>
  <c r="AF193" i="3"/>
  <c r="Q193" i="3"/>
  <c r="U193" i="3"/>
  <c r="Y193" i="3"/>
  <c r="AG193" i="3"/>
  <c r="W195" i="3"/>
  <c r="AF195" i="3"/>
  <c r="R195" i="3"/>
  <c r="AE42" i="3"/>
  <c r="AI42" i="3"/>
  <c r="AH195" i="3"/>
  <c r="O110" i="3"/>
  <c r="AT110" i="3" s="1"/>
  <c r="AU42" i="3"/>
  <c r="AD195" i="3"/>
  <c r="Q195" i="3"/>
  <c r="U195" i="3"/>
  <c r="Y195" i="3"/>
  <c r="AG195" i="3"/>
  <c r="AT17" i="3"/>
  <c r="U28" i="3"/>
  <c r="U42" i="3" s="1"/>
  <c r="AC191" i="3"/>
  <c r="AC37" i="3"/>
  <c r="AC42" i="3" s="1"/>
  <c r="AC53" i="3"/>
  <c r="T84" i="3"/>
  <c r="T180" i="3"/>
  <c r="AE84" i="3"/>
  <c r="AE110" i="3" s="1"/>
  <c r="AC115" i="3"/>
  <c r="AC184" i="3" s="1"/>
  <c r="Q184" i="3"/>
  <c r="Q185" i="3" s="1"/>
  <c r="Q197" i="3" s="1"/>
  <c r="AC173" i="3"/>
  <c r="AC175" i="3" s="1"/>
  <c r="AE185" i="3"/>
  <c r="AA179" i="3"/>
  <c r="AA185" i="3" s="1"/>
  <c r="AA188" i="3" s="1"/>
  <c r="Q28" i="3"/>
  <c r="Q42" i="3" s="1"/>
  <c r="R185" i="3"/>
  <c r="AS54" i="3"/>
  <c r="AS55" i="3" s="1"/>
  <c r="AC183" i="3"/>
  <c r="V175" i="3"/>
  <c r="Y185" i="3"/>
  <c r="Y188" i="3" s="1"/>
  <c r="AB180" i="3"/>
  <c r="AA17" i="3"/>
  <c r="W185" i="3"/>
  <c r="W188" i="3" s="1"/>
  <c r="AT76" i="3"/>
  <c r="R84" i="3"/>
  <c r="R110" i="3" s="1"/>
  <c r="W84" i="3"/>
  <c r="W110" i="3" s="1"/>
  <c r="AH84" i="3"/>
  <c r="Z178" i="3"/>
  <c r="Z185" i="3" s="1"/>
  <c r="Z188" i="3" s="1"/>
  <c r="Z214" i="3"/>
  <c r="Z216" i="3" s="1"/>
  <c r="T28" i="3"/>
  <c r="T42" i="3" s="1"/>
  <c r="Y28" i="3"/>
  <c r="Y42" i="3" s="1"/>
  <c r="T178" i="3"/>
  <c r="X178" i="3"/>
  <c r="AB178" i="3"/>
  <c r="AF180" i="3"/>
  <c r="AF185" i="3" s="1"/>
  <c r="AF84" i="3"/>
  <c r="AF110" i="3" s="1"/>
  <c r="Y84" i="3"/>
  <c r="Y110" i="3" s="1"/>
  <c r="AD84" i="3"/>
  <c r="AD185" i="3"/>
  <c r="AH185" i="3"/>
  <c r="AH188" i="3" s="1"/>
  <c r="X180" i="3"/>
  <c r="Z28" i="3"/>
  <c r="Z42" i="3" s="1"/>
  <c r="AE193" i="3"/>
  <c r="AI193" i="3"/>
  <c r="C11" i="2"/>
  <c r="C10" i="2" s="1"/>
  <c r="C47" i="2" s="1"/>
  <c r="E110" i="3" l="1"/>
  <c r="E112" i="3" s="1"/>
  <c r="Z110" i="3"/>
  <c r="AB112" i="3"/>
  <c r="AF205" i="3"/>
  <c r="T185" i="3"/>
  <c r="T197" i="3" s="1"/>
  <c r="Z197" i="3"/>
  <c r="S195" i="3"/>
  <c r="P112" i="3"/>
  <c r="P122" i="3" s="1"/>
  <c r="AC193" i="3"/>
  <c r="L112" i="3"/>
  <c r="N112" i="3"/>
  <c r="X112" i="3"/>
  <c r="X123" i="3" s="1"/>
  <c r="AG203" i="3"/>
  <c r="X110" i="3"/>
  <c r="G112" i="3"/>
  <c r="AD205" i="3"/>
  <c r="AH110" i="3"/>
  <c r="AH112" i="3" s="1"/>
  <c r="AH176" i="3"/>
  <c r="I110" i="3"/>
  <c r="I112" i="3" s="1"/>
  <c r="I120" i="3" s="1"/>
  <c r="I151" i="3" s="1"/>
  <c r="H110" i="3"/>
  <c r="H112" i="3" s="1"/>
  <c r="H123" i="3" s="1"/>
  <c r="F112" i="3"/>
  <c r="AB185" i="3"/>
  <c r="AB188" i="3" s="1"/>
  <c r="K112" i="3"/>
  <c r="R197" i="3"/>
  <c r="W112" i="3"/>
  <c r="W122" i="3" s="1"/>
  <c r="AH203" i="3"/>
  <c r="AG197" i="3"/>
  <c r="J15" i="2"/>
  <c r="K15" i="2"/>
  <c r="K49" i="2" s="1"/>
  <c r="F15" i="2"/>
  <c r="F49" i="2" s="1"/>
  <c r="E15" i="2"/>
  <c r="E48" i="2" s="1"/>
  <c r="J49" i="2"/>
  <c r="G15" i="2"/>
  <c r="G49" i="2" s="1"/>
  <c r="H15" i="2"/>
  <c r="H49" i="2" s="1"/>
  <c r="L12" i="2"/>
  <c r="L10" i="2" s="1"/>
  <c r="L47" i="2" s="1"/>
  <c r="C49" i="2"/>
  <c r="J47" i="2"/>
  <c r="G47" i="2"/>
  <c r="H47" i="2"/>
  <c r="F47" i="2"/>
  <c r="D48" i="2"/>
  <c r="C48" i="2"/>
  <c r="L41" i="2"/>
  <c r="L40" i="2" s="1"/>
  <c r="L31" i="2"/>
  <c r="L30" i="2" s="1"/>
  <c r="L18" i="2"/>
  <c r="I123" i="3"/>
  <c r="P123" i="3"/>
  <c r="E156" i="3"/>
  <c r="E123" i="3"/>
  <c r="E122" i="3"/>
  <c r="E130" i="3" s="1"/>
  <c r="E120" i="3"/>
  <c r="E151" i="3" s="1"/>
  <c r="Z112" i="3"/>
  <c r="Z123" i="3" s="1"/>
  <c r="AD110" i="3"/>
  <c r="AD112" i="3" s="1"/>
  <c r="AD138" i="3" s="1"/>
  <c r="R112" i="3"/>
  <c r="R123" i="3" s="1"/>
  <c r="AG176" i="3"/>
  <c r="AI195" i="3"/>
  <c r="M123" i="3"/>
  <c r="W197" i="3"/>
  <c r="V112" i="3"/>
  <c r="AJ193" i="3"/>
  <c r="AF112" i="3"/>
  <c r="AF123" i="3" s="1"/>
  <c r="AC84" i="3"/>
  <c r="AC110" i="3" s="1"/>
  <c r="AC112" i="3" s="1"/>
  <c r="AI203" i="3"/>
  <c r="AI112" i="3"/>
  <c r="AI138" i="3" s="1"/>
  <c r="Q112" i="3"/>
  <c r="Q120" i="3" s="1"/>
  <c r="R114" i="3" s="1"/>
  <c r="R120" i="3" s="1"/>
  <c r="S114" i="3" s="1"/>
  <c r="S120" i="3" s="1"/>
  <c r="T114" i="3" s="1"/>
  <c r="U197" i="3"/>
  <c r="AI176" i="3"/>
  <c r="AE112" i="3"/>
  <c r="AE216" i="3" s="1"/>
  <c r="U110" i="3"/>
  <c r="U112" i="3" s="1"/>
  <c r="U123" i="3" s="1"/>
  <c r="AD216" i="3"/>
  <c r="AD122" i="3"/>
  <c r="AD120" i="3"/>
  <c r="AD123" i="3"/>
  <c r="AB123" i="3"/>
  <c r="AB122" i="3"/>
  <c r="N123" i="3"/>
  <c r="N122" i="3"/>
  <c r="AH123" i="3"/>
  <c r="AH138" i="3"/>
  <c r="AH120" i="3"/>
  <c r="AH122" i="3"/>
  <c r="J123" i="3"/>
  <c r="J120" i="3"/>
  <c r="J151" i="3" s="1"/>
  <c r="J122" i="3"/>
  <c r="J167" i="3" s="1"/>
  <c r="J168" i="3" s="1"/>
  <c r="L123" i="3"/>
  <c r="L122" i="3"/>
  <c r="T112" i="3"/>
  <c r="K122" i="3"/>
  <c r="K167" i="3" s="1"/>
  <c r="K168" i="3" s="1"/>
  <c r="K123" i="3"/>
  <c r="K120" i="3"/>
  <c r="AE138" i="3"/>
  <c r="V195" i="3"/>
  <c r="V197" i="3"/>
  <c r="AC195" i="3"/>
  <c r="X122" i="3"/>
  <c r="S141" i="3"/>
  <c r="S123" i="3"/>
  <c r="S122" i="3"/>
  <c r="Z122" i="3"/>
  <c r="AD188" i="3"/>
  <c r="AI186" i="3"/>
  <c r="AG120" i="3"/>
  <c r="AG122" i="3"/>
  <c r="AG123" i="3"/>
  <c r="AG138" i="3"/>
  <c r="AJ194" i="3"/>
  <c r="AC178" i="3"/>
  <c r="AC185" i="3" s="1"/>
  <c r="AJ186" i="3"/>
  <c r="AF188" i="3"/>
  <c r="G154" i="3"/>
  <c r="G122" i="3"/>
  <c r="G167" i="3" s="1"/>
  <c r="G168" i="3" s="1"/>
  <c r="G123" i="3"/>
  <c r="X185" i="3"/>
  <c r="Y112" i="3"/>
  <c r="AA171" i="3"/>
  <c r="AA175" i="3" s="1"/>
  <c r="AJ175" i="3" s="1"/>
  <c r="AK175" i="3" s="1"/>
  <c r="AA28" i="3"/>
  <c r="AA42" i="3" s="1"/>
  <c r="AA112" i="3" s="1"/>
  <c r="AE188" i="3"/>
  <c r="AE205" i="3"/>
  <c r="AE197" i="3"/>
  <c r="Y197" i="3"/>
  <c r="AD197" i="3"/>
  <c r="AJ112" i="3"/>
  <c r="AH197" i="3"/>
  <c r="AF197" i="3"/>
  <c r="O112" i="3"/>
  <c r="AE122" i="3" l="1"/>
  <c r="AT112" i="3"/>
  <c r="AU113" i="3" s="1"/>
  <c r="H122" i="3"/>
  <c r="H167" i="3" s="1"/>
  <c r="H168" i="3" s="1"/>
  <c r="AI123" i="3"/>
  <c r="W123" i="3"/>
  <c r="AE123" i="3"/>
  <c r="AU115" i="3"/>
  <c r="I122" i="3"/>
  <c r="I167" i="3" s="1"/>
  <c r="I168" i="3" s="1"/>
  <c r="AI122" i="3"/>
  <c r="AE120" i="3"/>
  <c r="T120" i="3"/>
  <c r="U114" i="3" s="1"/>
  <c r="U120" i="3" s="1"/>
  <c r="V114" i="3" s="1"/>
  <c r="V120" i="3" s="1"/>
  <c r="W114" i="3" s="1"/>
  <c r="W120" i="3" s="1"/>
  <c r="X114" i="3" s="1"/>
  <c r="X120" i="3" s="1"/>
  <c r="Q123" i="3"/>
  <c r="AF120" i="3"/>
  <c r="AS115" i="3"/>
  <c r="F156" i="3"/>
  <c r="F120" i="3"/>
  <c r="F122" i="3"/>
  <c r="F167" i="3" s="1"/>
  <c r="F168" i="3" s="1"/>
  <c r="F154" i="3"/>
  <c r="F123" i="3"/>
  <c r="Q122" i="3"/>
  <c r="AF122" i="3"/>
  <c r="R122" i="3"/>
  <c r="AJ188" i="3"/>
  <c r="AK193" i="3" s="1"/>
  <c r="E167" i="3"/>
  <c r="E168" i="3" s="1"/>
  <c r="AB197" i="3"/>
  <c r="AF138" i="3"/>
  <c r="L15" i="2"/>
  <c r="L49" i="2" s="1"/>
  <c r="E49" i="2"/>
  <c r="V122" i="3"/>
  <c r="V123" i="3"/>
  <c r="AC120" i="3"/>
  <c r="AE209" i="3"/>
  <c r="AE211" i="3" s="1"/>
  <c r="U122" i="3"/>
  <c r="O123" i="3"/>
  <c r="O122" i="3"/>
  <c r="Y122" i="3"/>
  <c r="Y123" i="3"/>
  <c r="AC197" i="3"/>
  <c r="AJ197" i="3" s="1"/>
  <c r="AC123" i="3"/>
  <c r="AC122" i="3"/>
  <c r="X188" i="3"/>
  <c r="AC188" i="3" s="1"/>
  <c r="AJ195" i="3" s="1"/>
  <c r="X197" i="3"/>
  <c r="AJ185" i="3"/>
  <c r="AK185" i="3" s="1"/>
  <c r="AA123" i="3"/>
  <c r="AA122" i="3"/>
  <c r="AT130" i="3"/>
  <c r="E131" i="3"/>
  <c r="AT131" i="3" s="1"/>
  <c r="AG205" i="3"/>
  <c r="AH205" i="3" s="1"/>
  <c r="AI168" i="3"/>
  <c r="AA195" i="3"/>
  <c r="AA197" i="3"/>
  <c r="AC114" i="3"/>
  <c r="Y114" i="3"/>
  <c r="Y120" i="3" s="1"/>
  <c r="Z114" i="3" s="1"/>
  <c r="Z120" i="3" s="1"/>
  <c r="AA114" i="3" s="1"/>
  <c r="AA120" i="3" s="1"/>
  <c r="AB114" i="3" s="1"/>
  <c r="AB120" i="3" s="1"/>
  <c r="K151" i="3"/>
  <c r="L114" i="3"/>
  <c r="L120" i="3" s="1"/>
  <c r="T123" i="3"/>
  <c r="T122" i="3"/>
  <c r="T141" i="3"/>
  <c r="AT122" i="3" l="1"/>
  <c r="AT123" i="3"/>
  <c r="F151" i="3"/>
  <c r="G114" i="3"/>
  <c r="G120" i="3" s="1"/>
  <c r="AK197" i="3"/>
  <c r="L151" i="3"/>
  <c r="M114" i="3"/>
  <c r="M120" i="3" s="1"/>
  <c r="AI205" i="3"/>
  <c r="G151" i="3" l="1"/>
  <c r="H114" i="3"/>
  <c r="H120" i="3" s="1"/>
  <c r="H151" i="3" s="1"/>
  <c r="N114" i="3"/>
  <c r="N120" i="3" s="1"/>
  <c r="M151" i="3"/>
  <c r="N151" i="3" l="1"/>
  <c r="O114" i="3"/>
  <c r="O120" i="3" s="1"/>
  <c r="P114" i="3" l="1"/>
  <c r="P120" i="3" s="1"/>
  <c r="O151" i="3"/>
</calcChain>
</file>

<file path=xl/comments1.xml><?xml version="1.0" encoding="utf-8"?>
<comments xmlns="http://schemas.openxmlformats.org/spreadsheetml/2006/main">
  <authors>
    <author>Jose Raymundo Mercedes</author>
  </authors>
  <commentList>
    <comment ref="K8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Datos de Julio son preliminares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Facturación BI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Contiene Fianzas y Reconexiones de los Sistemas Comerciales y otros ingresos del flujo (arrendamiento de postes, venta de chatarras, intereses ganados, entre otros.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Ingresos tomados del Flujo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Data proviene de la liquidación de compras de energía en $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Incurrido Real SAP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Datos obtenidos del Flujo</t>
        </r>
      </text>
    </comment>
    <comment ref="B38" authorId="0" shapeId="0">
      <text>
        <r>
          <rPr>
            <b/>
            <sz val="9"/>
            <color indexed="81"/>
            <rFont val="Tahoma"/>
            <family val="2"/>
          </rPr>
          <t xml:space="preserve">Jose Raymundo Mercedes:Incluye Indemnizaciones a terceros 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Ejecución</t>
        </r>
        <r>
          <rPr>
            <sz val="9"/>
            <color indexed="81"/>
            <rFont val="Tahoma"/>
            <family val="2"/>
          </rPr>
          <t xml:space="preserve">: A los pagos de los interereses se le rebaja el reconocimiento del pago de la deuda.
</t>
        </r>
        <r>
          <rPr>
            <b/>
            <sz val="9"/>
            <color indexed="81"/>
            <rFont val="Tahoma"/>
            <family val="2"/>
          </rPr>
          <t>Presupuesto:</t>
        </r>
        <r>
          <rPr>
            <sz val="9"/>
            <color indexed="81"/>
            <rFont val="Tahoma"/>
            <family val="2"/>
          </rPr>
          <t xml:space="preserve"> Solo se consideran los intereses de los prestamos
El valor total de los Gastos Financieros fue de 1,365 RD$ MM</t>
        </r>
      </text>
    </comment>
    <comment ref="B40" authorId="0" shapeId="0">
      <text>
        <r>
          <rPr>
            <b/>
            <sz val="9"/>
            <color indexed="81"/>
            <rFont val="Tahoma"/>
            <family val="2"/>
          </rPr>
          <t>Jose Raymundo Mercedes:</t>
        </r>
        <r>
          <rPr>
            <sz val="9"/>
            <color indexed="81"/>
            <rFont val="Tahoma"/>
            <family val="2"/>
          </rPr>
          <t xml:space="preserve">
Ejecutado real SAP</t>
        </r>
      </text>
    </comment>
  </commentList>
</comments>
</file>

<file path=xl/sharedStrings.xml><?xml version="1.0" encoding="utf-8"?>
<sst xmlns="http://schemas.openxmlformats.org/spreadsheetml/2006/main" count="275" uniqueCount="212">
  <si>
    <t>Amortizaciones</t>
  </si>
  <si>
    <t>Arrendamientos</t>
  </si>
  <si>
    <t>Gastos de Personal</t>
  </si>
  <si>
    <t>Honorarios Profesionales</t>
  </si>
  <si>
    <t>Impuestos y Tasas a los Ayuntamientos</t>
  </si>
  <si>
    <t>Marketing y Relaciones Públicas</t>
  </si>
  <si>
    <t>Otros Gastos Administrativos y Operacionales</t>
  </si>
  <si>
    <t>Reparación y Mantenimientos</t>
  </si>
  <si>
    <t>Repuestos y Suministros</t>
  </si>
  <si>
    <t>Suministros y Servicios</t>
  </si>
  <si>
    <t>Inversiones</t>
  </si>
  <si>
    <t>Enero</t>
  </si>
  <si>
    <t>Febrero</t>
  </si>
  <si>
    <t>Marzo</t>
  </si>
  <si>
    <t>Abril</t>
  </si>
  <si>
    <t>Mayo</t>
  </si>
  <si>
    <t>Junio</t>
  </si>
  <si>
    <t>Julio</t>
  </si>
  <si>
    <t>Activos Fijos</t>
  </si>
  <si>
    <t xml:space="preserve">     Intereses sobre Préstamos Bancarios</t>
  </si>
  <si>
    <t xml:space="preserve">     Comisiones</t>
  </si>
  <si>
    <t>Dirección de Planificación y Control de Gestión</t>
  </si>
  <si>
    <t>Ejecución Presupuestaria  EDESUR</t>
  </si>
  <si>
    <t>Al cierre de Julio 2017</t>
  </si>
  <si>
    <t>Valores en RD$ MM</t>
  </si>
  <si>
    <t>Acumulado Julio</t>
  </si>
  <si>
    <t>Total Ingresos</t>
  </si>
  <si>
    <t>Ingresos por Venta de Energía</t>
  </si>
  <si>
    <t>Otros Ingresos</t>
  </si>
  <si>
    <t>Otros Ingresos (incl. ingresos financieros y otros)</t>
  </si>
  <si>
    <t>Total Gastos</t>
  </si>
  <si>
    <t>Compra de Energía</t>
  </si>
  <si>
    <t>Gastos Operativos (OpEx)</t>
  </si>
  <si>
    <t>Cargos Inst. Regulatorias &amp; Ayunt.</t>
  </si>
  <si>
    <t>Pagos Instituciones Regulatorias</t>
  </si>
  <si>
    <t>SIE</t>
  </si>
  <si>
    <t>CNE</t>
  </si>
  <si>
    <t>OC</t>
  </si>
  <si>
    <t>PGASE</t>
  </si>
  <si>
    <t>INDOCAL</t>
  </si>
  <si>
    <t>Pagos tasa 3% Ayuntamientos</t>
  </si>
  <si>
    <t>Gastos Financieros</t>
  </si>
  <si>
    <t>Gastos de Capital (CapEx)</t>
  </si>
  <si>
    <t>Capital propio</t>
  </si>
  <si>
    <t>Financiamiento Externo</t>
  </si>
  <si>
    <t>Balance Comercial</t>
  </si>
  <si>
    <t>Balance Corriente</t>
  </si>
  <si>
    <t>Ppto Base</t>
  </si>
  <si>
    <t>Ppto Actual</t>
  </si>
  <si>
    <t>CORPORACION DOMINICANA DE EMPRESAS ELECTRICAS ESTATALES</t>
  </si>
  <si>
    <t>UNIDAD DE ANALISIS Y SEGUIMIENTO</t>
  </si>
  <si>
    <t>EDESUR DOMINICANA, S.A.</t>
  </si>
  <si>
    <t>SISTEMA DE SEGUIMIENTO BASICO DE EJECUCION MENSUAL</t>
  </si>
  <si>
    <t>Evolutivo</t>
  </si>
  <si>
    <t>(RD$ Millones)</t>
  </si>
  <si>
    <t>Agosto</t>
  </si>
  <si>
    <t>Septiembre</t>
  </si>
  <si>
    <t>Octubre</t>
  </si>
  <si>
    <t>Noviembre</t>
  </si>
  <si>
    <t>Diciembre</t>
  </si>
  <si>
    <t>A.- INGRESOS POR VENTA DE ENERGIA</t>
  </si>
  <si>
    <t>Cobros Comerciales</t>
  </si>
  <si>
    <t xml:space="preserve">     Ventas de Energia Sectores No PRA</t>
  </si>
  <si>
    <t xml:space="preserve">     Inst. Gubernamentales No Cortables</t>
  </si>
  <si>
    <t>Otros Ingresos por Ventas</t>
  </si>
  <si>
    <t>TOTAL COBROS COMERCIALES</t>
  </si>
  <si>
    <t>Ingresos Especializados &amp; A Compensar</t>
  </si>
  <si>
    <t xml:space="preserve">     Fondo de Estabilización Tarifaria </t>
  </si>
  <si>
    <t xml:space="preserve">     A Compensar: Ayuntamientos</t>
  </si>
  <si>
    <t xml:space="preserve">     Chami Isa &amp; Asociados CDEEE</t>
  </si>
  <si>
    <t xml:space="preserve">     A Compensar: Gobierno</t>
  </si>
  <si>
    <t xml:space="preserve">     A Compensar: Ede-Nor/Sur</t>
  </si>
  <si>
    <t xml:space="preserve">     A Compensar: CDEEE</t>
  </si>
  <si>
    <t xml:space="preserve">     A Compensar: Generadores</t>
  </si>
  <si>
    <t xml:space="preserve">     Fondo de Estabilización Tarifa Bonoluz</t>
  </si>
  <si>
    <t>TOTAL INGRESOS ESPECIALIZADOS</t>
  </si>
  <si>
    <t>TOTAL INGRESOS POR VENTA DE ENERGIA</t>
  </si>
  <si>
    <t>B.- INGRESOS FINANCIEROS</t>
  </si>
  <si>
    <t xml:space="preserve">        Préstamos Bancarios</t>
  </si>
  <si>
    <t xml:space="preserve">        Préstamos CDEEE</t>
  </si>
  <si>
    <t xml:space="preserve">        Préstamos Entre Empresas</t>
  </si>
  <si>
    <t xml:space="preserve">        Cobros de Intereses Deudas con el Sector </t>
  </si>
  <si>
    <t xml:space="preserve">        Certificados de Inversion</t>
  </si>
  <si>
    <t xml:space="preserve">        Otros Ingresos Financieros</t>
  </si>
  <si>
    <t xml:space="preserve">        Otros Ingresos no Operativos</t>
  </si>
  <si>
    <t>TOTAL INGRESOS FINANCIEROS</t>
  </si>
  <si>
    <t>C.- OTROS INGRESOS</t>
  </si>
  <si>
    <t xml:space="preserve">     Otros Ingresos</t>
  </si>
  <si>
    <t xml:space="preserve">      AES - Peaje </t>
  </si>
  <si>
    <t>TOTAL OTROS INGRESOS</t>
  </si>
  <si>
    <t>I.- INGRESOS TOTALES (A+B+C)</t>
  </si>
  <si>
    <t>D.- PAGOS OPERATIVOS</t>
  </si>
  <si>
    <t xml:space="preserve">     Personal</t>
  </si>
  <si>
    <t xml:space="preserve">     Proveedores ( Generales &amp; Administrativos)</t>
  </si>
  <si>
    <t xml:space="preserve">     Impuestos</t>
  </si>
  <si>
    <t xml:space="preserve">     ITIBIS</t>
  </si>
  <si>
    <t xml:space="preserve">     Retención al Personal</t>
  </si>
  <si>
    <t xml:space="preserve">     Retenciones a Terceros </t>
  </si>
  <si>
    <t xml:space="preserve">     Ley 288-04 (0.15% Impuesto a Cheques)</t>
  </si>
  <si>
    <t xml:space="preserve">     Otros</t>
  </si>
  <si>
    <t>TOTAL PAGOS OPERATIVOS</t>
  </si>
  <si>
    <t>E.-PAGOS DE ENERGIA</t>
  </si>
  <si>
    <t>E.1.-Generadores</t>
  </si>
  <si>
    <t xml:space="preserve">     Itabo</t>
  </si>
  <si>
    <t xml:space="preserve">     Haina</t>
  </si>
  <si>
    <t xml:space="preserve">     CDEEE</t>
  </si>
  <si>
    <t xml:space="preserve">     EGEHID</t>
  </si>
  <si>
    <t xml:space="preserve">     ETED</t>
  </si>
  <si>
    <t xml:space="preserve">     CDEEE Acuerdo PALAMARA</t>
  </si>
  <si>
    <t xml:space="preserve">     Metaldom</t>
  </si>
  <si>
    <t xml:space="preserve">     Puerto Plata</t>
  </si>
  <si>
    <t xml:space="preserve">     Monte Rio</t>
  </si>
  <si>
    <t xml:space="preserve">     Dominican Power Partner</t>
  </si>
  <si>
    <t xml:space="preserve">     AES Andrés</t>
  </si>
  <si>
    <t xml:space="preserve">     Palamara</t>
  </si>
  <si>
    <t xml:space="preserve">     Seaboard</t>
  </si>
  <si>
    <t xml:space="preserve">     Falconbridge</t>
  </si>
  <si>
    <t>Consorcio LAESA</t>
  </si>
  <si>
    <t xml:space="preserve">     Pueblo Viejo</t>
  </si>
  <si>
    <t xml:space="preserve">     Los Origenes Power Plant</t>
  </si>
  <si>
    <t xml:space="preserve">     San Felipe</t>
  </si>
  <si>
    <t xml:space="preserve">    Electronic JRC</t>
  </si>
  <si>
    <t>Aporte Barrios Carenciados (48%)</t>
  </si>
  <si>
    <t>TOTAL PAGOS A GENERADORES</t>
  </si>
  <si>
    <t>E.2.-Pago a Instituciones Regulatorias</t>
  </si>
  <si>
    <t>Comisión  Nac. de Energía</t>
  </si>
  <si>
    <t>Organismo Coordinador</t>
  </si>
  <si>
    <t>Digenor</t>
  </si>
  <si>
    <t>TOTAL INSTITUCIONES REGULATORIAS</t>
  </si>
  <si>
    <t>TOTAL PAGOS ENERGIA (E.1+E.2)</t>
  </si>
  <si>
    <t>F.- PAGOS FINANCIEROS &amp; COMPENSACIONES</t>
  </si>
  <si>
    <t xml:space="preserve">     Préstamos Bancarios</t>
  </si>
  <si>
    <t>Capital Préstamo sindicado</t>
  </si>
  <si>
    <t xml:space="preserve">     Préstamos CDEEE</t>
  </si>
  <si>
    <t>Préstamo Financiero Reembolsable ETED</t>
  </si>
  <si>
    <t xml:space="preserve">     Préstamos entre Empresas</t>
  </si>
  <si>
    <t>Intereses Préstamo Sindicado</t>
  </si>
  <si>
    <t xml:space="preserve">          Intereses sobre Facturación Corriente</t>
  </si>
  <si>
    <t xml:space="preserve">          Intereses sobre Deuda Congelada</t>
  </si>
  <si>
    <t>Comisiones</t>
  </si>
  <si>
    <t xml:space="preserve">     Amortización Deuda de Periodos Anteriores</t>
  </si>
  <si>
    <t xml:space="preserve">     Certificados de Inversion</t>
  </si>
  <si>
    <t>Cerficado de  Inversión para pago Regalía</t>
  </si>
  <si>
    <t xml:space="preserve">     Otros Pagos Financieros</t>
  </si>
  <si>
    <t>F.1.- Sub-Total Pagos Financieros</t>
  </si>
  <si>
    <t xml:space="preserve">     Pagos Compensados CDEEE</t>
  </si>
  <si>
    <t xml:space="preserve">     Compensado: Ayuntamientos</t>
  </si>
  <si>
    <t xml:space="preserve">     Compensado: Gobierno</t>
  </si>
  <si>
    <t xml:space="preserve">     Compensado: Ede-Nor/Sur</t>
  </si>
  <si>
    <t xml:space="preserve">     Compensado: Generadores</t>
  </si>
  <si>
    <t>F.2.-Sub-Total Compensaciones</t>
  </si>
  <si>
    <t>F.3.- OTROS EGRESOS</t>
  </si>
  <si>
    <t>Otros Egresos (Pagos Ayuntamientos)</t>
  </si>
  <si>
    <t>Indemnizaciones a Terceros</t>
  </si>
  <si>
    <t>TOTAL PAGOS FINANCIEROS &amp; COMPENSACIONES</t>
  </si>
  <si>
    <t>(II) PAGOS TOTALES (D+E+F)</t>
  </si>
  <si>
    <t>RESULTADO DEL PERIODO (I+II)</t>
  </si>
  <si>
    <t xml:space="preserve">más </t>
  </si>
  <si>
    <t>SALDO INICIAL</t>
  </si>
  <si>
    <t xml:space="preserve">     Capex  (Inversiones)</t>
  </si>
  <si>
    <t xml:space="preserve">     Aporte Gobierno para Inversiones</t>
  </si>
  <si>
    <t xml:space="preserve">     Aportes del Gobierno 75% Sectores PRA</t>
  </si>
  <si>
    <t xml:space="preserve">     Pago Bonoluz</t>
  </si>
  <si>
    <t xml:space="preserve">     Aporte Gobierno al Deficit de Caja</t>
  </si>
  <si>
    <t>SALDO FINAL</t>
  </si>
  <si>
    <t>Datos Complementarios</t>
  </si>
  <si>
    <t>EJECUTADO</t>
  </si>
  <si>
    <t>Energía BB.MM. (GWh)</t>
  </si>
  <si>
    <t>Energía 75% BB.MM. (GWh)</t>
  </si>
  <si>
    <t>Compra Energía (MM RD$).</t>
  </si>
  <si>
    <t xml:space="preserve">Compra Energía 75% BB.MM. (MM RD$) </t>
  </si>
  <si>
    <t>Compra de Energía Preliminar mes siguiente</t>
  </si>
  <si>
    <t>Energía Facturada (GWh)</t>
  </si>
  <si>
    <t>Cobros</t>
  </si>
  <si>
    <t>Energia Recuperada [GWh]</t>
  </si>
  <si>
    <t>Pérdidas Proyectadas (%)</t>
  </si>
  <si>
    <t>Facturacion MM RD$</t>
  </si>
  <si>
    <t>Fondo Est. Tarifa</t>
  </si>
  <si>
    <t>Inversiones ZR004</t>
  </si>
  <si>
    <t>Contelsa</t>
  </si>
  <si>
    <t>Ingresos  Ventas Energía</t>
  </si>
  <si>
    <t>Ingresos Financieros</t>
  </si>
  <si>
    <t>Aporte Gobierno</t>
  </si>
  <si>
    <t>Gastos Operativos</t>
  </si>
  <si>
    <t>GOP</t>
  </si>
  <si>
    <t>Compras de Energía</t>
  </si>
  <si>
    <t>Pagos Gener</t>
  </si>
  <si>
    <t>Organismos Reguladores</t>
  </si>
  <si>
    <t>Inst. Reg.</t>
  </si>
  <si>
    <t>Intereses Sobre Préstamos</t>
  </si>
  <si>
    <t>Intereses</t>
  </si>
  <si>
    <t>Comisiones Bancarias</t>
  </si>
  <si>
    <t>Otros(Indemnizaciones y Pagos Ayuntamientos)</t>
  </si>
  <si>
    <t>Otros Egresos</t>
  </si>
  <si>
    <t>Desembolsos</t>
  </si>
  <si>
    <t>Gastos Capital</t>
  </si>
  <si>
    <t>Déficit/Superávit</t>
  </si>
  <si>
    <t>Déficit sin considerar embargos de Julio  y  Agosto</t>
  </si>
  <si>
    <t>Déficit  considerarando embargos de Julio  y  Agosto</t>
  </si>
  <si>
    <t>Ingresos Financiamiento</t>
  </si>
  <si>
    <t>Gastos Financiamiento</t>
  </si>
  <si>
    <t>Embargos</t>
  </si>
  <si>
    <t>,</t>
  </si>
  <si>
    <t>Total</t>
  </si>
  <si>
    <t xml:space="preserve">Otros Gastos Operacionales </t>
  </si>
  <si>
    <t xml:space="preserve">Balance Global </t>
  </si>
  <si>
    <t>Presupuesto 2017</t>
  </si>
  <si>
    <t>Nota: Cifras Preliminares</t>
  </si>
  <si>
    <t xml:space="preserve">Informe Ejecución Presupuestaria  </t>
  </si>
  <si>
    <t>Otros  (Facturación Fianzas y reconexiones)</t>
  </si>
  <si>
    <t>Acumulado Agosto 2017</t>
  </si>
  <si>
    <t>Al cierre de Agosto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</si>
</sst>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(* #,##0.0_);_(* \(#,##0.0\);_(* &quot;-&quot;??_);_(@_)"/>
    <numFmt numFmtId="165" formatCode="#,##0.0_);[Red]\(#,##0.0\)"/>
    <numFmt numFmtId="166" formatCode="#,##0.0_);\(#,##0.0\)"/>
    <numFmt numFmtId="167" formatCode="#,##0.000_);[Red]\(#,##0.000\)"/>
    <numFmt numFmtId="168" formatCode="#,##0.000000000000000_);[Red]\(#,##0.000000000000000\)"/>
    <numFmt numFmtId="169" formatCode="_(* #,##0.000_);_(* \(#,##0.000\);_(* &quot;-&quot;??_);_(@_)"/>
    <numFmt numFmtId="170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Tahoma"/>
      <family val="2"/>
    </font>
    <font>
      <b/>
      <sz val="10"/>
      <color theme="8" tint="-0.249977111117893"/>
      <name val="Calibri"/>
      <family val="2"/>
    </font>
    <font>
      <sz val="10"/>
      <name val="Times New Roman"/>
      <family val="1"/>
    </font>
    <font>
      <b/>
      <sz val="10"/>
      <color theme="8" tint="-0.249977111117893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i/>
      <sz val="10"/>
      <color theme="2" tint="-0.499984740745262"/>
      <name val="Calibri"/>
      <family val="2"/>
    </font>
    <font>
      <i/>
      <sz val="10"/>
      <color theme="2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i/>
      <sz val="14"/>
      <name val="Tahoma"/>
      <family val="2"/>
    </font>
    <font>
      <b/>
      <i/>
      <sz val="12"/>
      <name val="Tahoma"/>
      <family val="2"/>
    </font>
    <font>
      <b/>
      <sz val="10"/>
      <color indexed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rgb="FFFF0000"/>
      <name val="Tahoma"/>
      <family val="2"/>
    </font>
    <font>
      <sz val="10"/>
      <color theme="0"/>
      <name val="Tahoma"/>
      <family val="2"/>
    </font>
    <font>
      <b/>
      <sz val="8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/>
      <bottom style="medium">
        <color theme="8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 style="thin">
        <color indexed="64"/>
      </top>
      <bottom/>
      <diagonal/>
    </border>
    <border>
      <left/>
      <right style="medium">
        <color theme="0" tint="-0.499984740745262"/>
      </right>
      <top style="thin">
        <color theme="0" tint="-0.34998626667073579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  <xf numFmtId="0" fontId="17" fillId="0" borderId="0">
      <alignment vertical="top"/>
    </xf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</cellStyleXfs>
  <cellXfs count="262">
    <xf numFmtId="0" fontId="0" fillId="0" borderId="0" xfId="0"/>
    <xf numFmtId="164" fontId="0" fillId="0" borderId="0" xfId="1" applyNumberFormat="1" applyFont="1"/>
    <xf numFmtId="0" fontId="0" fillId="0" borderId="0" xfId="0" applyFont="1" applyProtection="1">
      <protection hidden="1"/>
    </xf>
    <xf numFmtId="0" fontId="0" fillId="0" borderId="0" xfId="0" applyFont="1" applyBorder="1" applyProtection="1">
      <protection hidden="1"/>
    </xf>
    <xf numFmtId="0" fontId="0" fillId="0" borderId="2" xfId="0" applyFont="1" applyBorder="1" applyProtection="1">
      <protection hidden="1"/>
    </xf>
    <xf numFmtId="0" fontId="6" fillId="0" borderId="0" xfId="2" applyNumberFormat="1" applyFont="1" applyFill="1" applyBorder="1" applyAlignment="1" applyProtection="1">
      <alignment vertical="center"/>
      <protection hidden="1"/>
    </xf>
    <xf numFmtId="166" fontId="10" fillId="0" borderId="0" xfId="4" applyNumberFormat="1" applyFont="1" applyFill="1" applyBorder="1" applyAlignment="1" applyProtection="1">
      <alignment horizontal="left" vertical="center" indent="1"/>
      <protection hidden="1"/>
    </xf>
    <xf numFmtId="165" fontId="11" fillId="0" borderId="0" xfId="3" applyNumberFormat="1" applyFont="1" applyFill="1" applyBorder="1" applyAlignment="1" applyProtection="1">
      <alignment horizontal="center" vertical="center"/>
      <protection hidden="1"/>
    </xf>
    <xf numFmtId="0" fontId="12" fillId="0" borderId="0" xfId="2" applyNumberFormat="1" applyFont="1" applyFill="1" applyBorder="1" applyAlignment="1" applyProtection="1">
      <alignment horizontal="left" vertical="center" indent="2"/>
      <protection hidden="1"/>
    </xf>
    <xf numFmtId="0" fontId="6" fillId="0" borderId="0" xfId="4" applyNumberFormat="1" applyFont="1" applyFill="1" applyBorder="1" applyAlignment="1" applyProtection="1">
      <alignment horizontal="left" vertical="center"/>
      <protection hidden="1"/>
    </xf>
    <xf numFmtId="0" fontId="6" fillId="0" borderId="0" xfId="4" applyNumberFormat="1" applyFont="1" applyFill="1" applyBorder="1" applyAlignment="1" applyProtection="1">
      <alignment horizontal="left" vertical="center" indent="1"/>
      <protection hidden="1"/>
    </xf>
    <xf numFmtId="0" fontId="10" fillId="0" borderId="0" xfId="2" applyNumberFormat="1" applyFont="1" applyFill="1" applyBorder="1" applyAlignment="1" applyProtection="1">
      <alignment horizontal="left" vertical="center" indent="2"/>
      <protection hidden="1"/>
    </xf>
    <xf numFmtId="0" fontId="14" fillId="0" borderId="0" xfId="3" applyFont="1" applyFill="1" applyBorder="1" applyAlignment="1" applyProtection="1">
      <alignment horizontal="left" vertical="center" indent="2"/>
      <protection hidden="1"/>
    </xf>
    <xf numFmtId="0" fontId="12" fillId="0" borderId="0" xfId="2" applyNumberFormat="1" applyFont="1" applyFill="1" applyBorder="1" applyAlignment="1" applyProtection="1">
      <alignment horizontal="left" vertical="center" indent="3"/>
      <protection hidden="1"/>
    </xf>
    <xf numFmtId="0" fontId="14" fillId="0" borderId="0" xfId="0" applyFont="1" applyFill="1" applyBorder="1" applyAlignment="1" applyProtection="1">
      <alignment horizontal="left" indent="2"/>
      <protection hidden="1"/>
    </xf>
    <xf numFmtId="0" fontId="11" fillId="0" borderId="0" xfId="0" applyFont="1" applyFill="1" applyBorder="1" applyAlignment="1" applyProtection="1">
      <alignment horizontal="left" indent="3"/>
      <protection hidden="1"/>
    </xf>
    <xf numFmtId="0" fontId="12" fillId="0" borderId="0" xfId="2" applyNumberFormat="1" applyFont="1" applyFill="1" applyBorder="1" applyAlignment="1" applyProtection="1">
      <alignment horizontal="left" vertical="center" indent="4"/>
      <protection hidden="1"/>
    </xf>
    <xf numFmtId="0" fontId="10" fillId="0" borderId="0" xfId="2" applyNumberFormat="1" applyFont="1" applyFill="1" applyBorder="1" applyAlignment="1" applyProtection="1">
      <alignment horizontal="left" vertical="center" indent="3"/>
      <protection hidden="1"/>
    </xf>
    <xf numFmtId="0" fontId="10" fillId="0" borderId="0" xfId="4" applyNumberFormat="1" applyFont="1" applyFill="1" applyBorder="1" applyAlignment="1" applyProtection="1">
      <alignment horizontal="left" vertical="center" indent="2"/>
      <protection hidden="1"/>
    </xf>
    <xf numFmtId="0" fontId="15" fillId="0" borderId="0" xfId="2" applyNumberFormat="1" applyFont="1" applyFill="1" applyBorder="1" applyAlignment="1" applyProtection="1">
      <alignment horizontal="left" vertical="center" indent="2"/>
      <protection hidden="1"/>
    </xf>
    <xf numFmtId="0" fontId="14" fillId="3" borderId="1" xfId="3" applyFont="1" applyFill="1" applyBorder="1" applyAlignment="1" applyProtection="1">
      <alignment horizontal="left" vertical="center"/>
      <protection hidden="1"/>
    </xf>
    <xf numFmtId="0" fontId="14" fillId="3" borderId="0" xfId="3" applyFont="1" applyFill="1" applyBorder="1" applyAlignment="1" applyProtection="1">
      <alignment horizontal="left" vertical="center"/>
      <protection hidden="1"/>
    </xf>
    <xf numFmtId="0" fontId="14" fillId="3" borderId="2" xfId="3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indent="2"/>
    </xf>
    <xf numFmtId="0" fontId="10" fillId="0" borderId="0" xfId="2" applyNumberFormat="1" applyFont="1" applyFill="1" applyBorder="1" applyAlignment="1" applyProtection="1">
      <alignment horizontal="left" vertical="center" wrapText="1" indent="3"/>
      <protection hidden="1"/>
    </xf>
    <xf numFmtId="164" fontId="0" fillId="0" borderId="0" xfId="0" applyNumberFormat="1"/>
    <xf numFmtId="0" fontId="18" fillId="0" borderId="0" xfId="5" applyFont="1" applyBorder="1" applyAlignment="1"/>
    <xf numFmtId="0" fontId="18" fillId="0" borderId="0" xfId="5" applyFont="1" applyFill="1" applyBorder="1" applyAlignment="1">
      <alignment horizontal="right" vertical="center"/>
    </xf>
    <xf numFmtId="43" fontId="18" fillId="0" borderId="0" xfId="6" applyFont="1" applyBorder="1" applyAlignment="1"/>
    <xf numFmtId="0" fontId="19" fillId="0" borderId="0" xfId="5" applyFont="1" applyFill="1" applyBorder="1" applyAlignment="1"/>
    <xf numFmtId="0" fontId="20" fillId="0" borderId="0" xfId="5" applyFont="1" applyFill="1" applyBorder="1" applyAlignment="1"/>
    <xf numFmtId="43" fontId="21" fillId="0" borderId="0" xfId="6" applyFont="1" applyFill="1" applyBorder="1" applyAlignment="1"/>
    <xf numFmtId="0" fontId="22" fillId="0" borderId="0" xfId="5" applyFont="1" applyFill="1" applyBorder="1" applyAlignment="1"/>
    <xf numFmtId="17" fontId="21" fillId="0" borderId="0" xfId="5" applyNumberFormat="1" applyFont="1" applyFill="1" applyBorder="1" applyAlignment="1"/>
    <xf numFmtId="0" fontId="21" fillId="0" borderId="0" xfId="5" applyFont="1" applyFill="1" applyBorder="1" applyAlignment="1"/>
    <xf numFmtId="3" fontId="21" fillId="0" borderId="0" xfId="5" quotePrefix="1" applyNumberFormat="1" applyFont="1" applyFill="1" applyBorder="1" applyAlignment="1"/>
    <xf numFmtId="3" fontId="21" fillId="0" borderId="0" xfId="5" quotePrefix="1" applyNumberFormat="1" applyFont="1" applyFill="1" applyBorder="1" applyAlignment="1">
      <alignment horizontal="left" indent="4"/>
    </xf>
    <xf numFmtId="40" fontId="22" fillId="0" borderId="0" xfId="5" applyNumberFormat="1" applyFont="1" applyFill="1" applyBorder="1" applyAlignment="1" applyProtection="1">
      <alignment horizontal="center" vertical="center"/>
      <protection locked="0"/>
    </xf>
    <xf numFmtId="43" fontId="18" fillId="0" borderId="0" xfId="6" applyFont="1" applyFill="1" applyBorder="1" applyAlignment="1"/>
    <xf numFmtId="0" fontId="18" fillId="0" borderId="0" xfId="5" applyFont="1" applyFill="1" applyBorder="1" applyAlignment="1"/>
    <xf numFmtId="4" fontId="18" fillId="0" borderId="0" xfId="5" applyNumberFormat="1" applyFont="1" applyFill="1" applyBorder="1" applyAlignment="1"/>
    <xf numFmtId="3" fontId="23" fillId="0" borderId="6" xfId="5" applyNumberFormat="1" applyFont="1" applyFill="1" applyBorder="1" applyAlignment="1" applyProtection="1">
      <alignment horizontal="left"/>
      <protection locked="0"/>
    </xf>
    <xf numFmtId="40" fontId="18" fillId="0" borderId="7" xfId="5" applyNumberFormat="1" applyFont="1" applyFill="1" applyBorder="1" applyAlignment="1">
      <alignment horizontal="right" vertical="center"/>
    </xf>
    <xf numFmtId="40" fontId="18" fillId="0" borderId="8" xfId="5" applyNumberFormat="1" applyFont="1" applyFill="1" applyBorder="1" applyAlignment="1">
      <alignment horizontal="right" vertical="center"/>
    </xf>
    <xf numFmtId="40" fontId="18" fillId="0" borderId="0" xfId="5" applyNumberFormat="1" applyFont="1" applyFill="1" applyBorder="1" applyAlignment="1">
      <alignment horizontal="right" vertical="center"/>
    </xf>
    <xf numFmtId="43" fontId="18" fillId="0" borderId="0" xfId="6" applyFont="1" applyFill="1" applyBorder="1" applyAlignment="1">
      <alignment horizontal="right" vertical="center"/>
    </xf>
    <xf numFmtId="3" fontId="23" fillId="0" borderId="9" xfId="5" applyNumberFormat="1" applyFont="1" applyFill="1" applyBorder="1" applyAlignment="1" applyProtection="1">
      <protection locked="0"/>
    </xf>
    <xf numFmtId="40" fontId="18" fillId="0" borderId="10" xfId="5" applyNumberFormat="1" applyFont="1" applyFill="1" applyBorder="1" applyAlignment="1">
      <alignment horizontal="right" vertical="center"/>
    </xf>
    <xf numFmtId="40" fontId="18" fillId="0" borderId="11" xfId="5" applyNumberFormat="1" applyFont="1" applyFill="1" applyBorder="1" applyAlignment="1">
      <alignment horizontal="right" vertical="center"/>
    </xf>
    <xf numFmtId="40" fontId="18" fillId="0" borderId="12" xfId="7" applyNumberFormat="1" applyFont="1" applyFill="1" applyBorder="1" applyAlignment="1">
      <alignment horizontal="left" vertical="center"/>
    </xf>
    <xf numFmtId="40" fontId="18" fillId="0" borderId="10" xfId="7" applyNumberFormat="1" applyFont="1" applyFill="1" applyBorder="1" applyAlignment="1">
      <alignment horizontal="right" vertical="center"/>
    </xf>
    <xf numFmtId="40" fontId="18" fillId="0" borderId="13" xfId="7" applyNumberFormat="1" applyFont="1" applyFill="1" applyBorder="1" applyAlignment="1">
      <alignment horizontal="right" vertical="center"/>
    </xf>
    <xf numFmtId="40" fontId="18" fillId="0" borderId="11" xfId="7" applyNumberFormat="1" applyFont="1" applyFill="1" applyBorder="1" applyAlignment="1">
      <alignment horizontal="right" vertical="center"/>
    </xf>
    <xf numFmtId="40" fontId="18" fillId="0" borderId="0" xfId="7" applyNumberFormat="1" applyFont="1" applyFill="1" applyBorder="1" applyAlignment="1">
      <alignment horizontal="right" vertical="center"/>
    </xf>
    <xf numFmtId="40" fontId="18" fillId="0" borderId="12" xfId="7" applyNumberFormat="1" applyFont="1" applyFill="1" applyBorder="1" applyAlignment="1">
      <alignment horizontal="left" vertical="center" indent="2"/>
    </xf>
    <xf numFmtId="40" fontId="18" fillId="0" borderId="0" xfId="7" applyNumberFormat="1" applyFont="1" applyFill="1" applyBorder="1" applyAlignment="1">
      <alignment horizontal="left" vertical="center" indent="2"/>
    </xf>
    <xf numFmtId="3" fontId="23" fillId="0" borderId="14" xfId="5" applyNumberFormat="1" applyFont="1" applyFill="1" applyBorder="1" applyAlignment="1" applyProtection="1">
      <alignment horizontal="left" indent="5"/>
      <protection locked="0"/>
    </xf>
    <xf numFmtId="40" fontId="22" fillId="0" borderId="15" xfId="7" applyNumberFormat="1" applyFont="1" applyFill="1" applyBorder="1" applyAlignment="1">
      <alignment horizontal="right" vertical="center"/>
    </xf>
    <xf numFmtId="40" fontId="22" fillId="5" borderId="15" xfId="7" applyNumberFormat="1" applyFont="1" applyFill="1" applyBorder="1" applyAlignment="1">
      <alignment horizontal="right" vertical="center"/>
    </xf>
    <xf numFmtId="40" fontId="22" fillId="0" borderId="0" xfId="7" applyNumberFormat="1" applyFont="1" applyFill="1" applyBorder="1" applyAlignment="1">
      <alignment horizontal="right" vertical="center"/>
    </xf>
    <xf numFmtId="43" fontId="22" fillId="0" borderId="0" xfId="6" applyFont="1" applyFill="1" applyBorder="1" applyAlignment="1">
      <alignment horizontal="right" vertical="center"/>
    </xf>
    <xf numFmtId="3" fontId="23" fillId="0" borderId="9" xfId="5" quotePrefix="1" applyNumberFormat="1" applyFont="1" applyFill="1" applyBorder="1" applyAlignment="1" applyProtection="1">
      <alignment horizontal="left"/>
      <protection locked="0"/>
    </xf>
    <xf numFmtId="3" fontId="24" fillId="0" borderId="9" xfId="5" applyNumberFormat="1" applyFont="1" applyFill="1" applyBorder="1" applyAlignment="1" applyProtection="1">
      <alignment horizontal="left" indent="1"/>
      <protection locked="0"/>
    </xf>
    <xf numFmtId="43" fontId="18" fillId="0" borderId="11" xfId="6" applyFont="1" applyFill="1" applyBorder="1" applyAlignment="1">
      <alignment horizontal="right" vertical="center"/>
    </xf>
    <xf numFmtId="3" fontId="24" fillId="0" borderId="9" xfId="5" quotePrefix="1" applyNumberFormat="1" applyFont="1" applyFill="1" applyBorder="1" applyAlignment="1" applyProtection="1">
      <alignment horizontal="left" indent="1"/>
      <protection locked="0"/>
    </xf>
    <xf numFmtId="0" fontId="18" fillId="0" borderId="11" xfId="5" applyFont="1" applyBorder="1" applyAlignment="1"/>
    <xf numFmtId="43" fontId="18" fillId="0" borderId="11" xfId="6" applyFont="1" applyBorder="1" applyAlignment="1"/>
    <xf numFmtId="3" fontId="24" fillId="0" borderId="14" xfId="5" quotePrefix="1" applyNumberFormat="1" applyFont="1" applyFill="1" applyBorder="1" applyAlignment="1" applyProtection="1">
      <alignment horizontal="left" indent="1"/>
      <protection locked="0"/>
    </xf>
    <xf numFmtId="43" fontId="18" fillId="0" borderId="10" xfId="6" applyFont="1" applyBorder="1" applyAlignment="1"/>
    <xf numFmtId="40" fontId="22" fillId="0" borderId="16" xfId="7" applyNumberFormat="1" applyFont="1" applyFill="1" applyBorder="1" applyAlignment="1">
      <alignment horizontal="right" vertical="center"/>
    </xf>
    <xf numFmtId="40" fontId="22" fillId="0" borderId="17" xfId="7" applyNumberFormat="1" applyFont="1" applyFill="1" applyBorder="1" applyAlignment="1">
      <alignment horizontal="right" vertical="center"/>
    </xf>
    <xf numFmtId="3" fontId="23" fillId="0" borderId="14" xfId="5" applyNumberFormat="1" applyFont="1" applyFill="1" applyBorder="1" applyAlignment="1" applyProtection="1">
      <alignment horizontal="center"/>
      <protection locked="0"/>
    </xf>
    <xf numFmtId="40" fontId="22" fillId="0" borderId="18" xfId="7" applyNumberFormat="1" applyFont="1" applyFill="1" applyBorder="1" applyAlignment="1">
      <alignment horizontal="right" vertical="center"/>
    </xf>
    <xf numFmtId="3" fontId="23" fillId="0" borderId="9" xfId="5" applyNumberFormat="1" applyFont="1" applyFill="1" applyBorder="1" applyAlignment="1" applyProtection="1">
      <alignment horizontal="left"/>
      <protection locked="0"/>
    </xf>
    <xf numFmtId="40" fontId="18" fillId="0" borderId="0" xfId="5" applyNumberFormat="1" applyFont="1" applyBorder="1" applyAlignment="1"/>
    <xf numFmtId="3" fontId="24" fillId="0" borderId="14" xfId="5" applyNumberFormat="1" applyFont="1" applyFill="1" applyBorder="1" applyAlignment="1" applyProtection="1">
      <alignment horizontal="left" indent="1"/>
      <protection locked="0"/>
    </xf>
    <xf numFmtId="3" fontId="24" fillId="0" borderId="9" xfId="5" applyNumberFormat="1" applyFont="1" applyFill="1" applyBorder="1" applyAlignment="1" applyProtection="1">
      <alignment horizontal="left" indent="2"/>
      <protection locked="0"/>
    </xf>
    <xf numFmtId="3" fontId="23" fillId="0" borderId="9" xfId="5" applyNumberFormat="1" applyFont="1" applyFill="1" applyBorder="1" applyAlignment="1" applyProtection="1">
      <alignment horizontal="center"/>
      <protection locked="0"/>
    </xf>
    <xf numFmtId="3" fontId="24" fillId="0" borderId="9" xfId="5" applyNumberFormat="1" applyFont="1" applyFill="1" applyBorder="1" applyAlignment="1" applyProtection="1">
      <protection locked="0"/>
    </xf>
    <xf numFmtId="40" fontId="18" fillId="6" borderId="10" xfId="7" applyNumberFormat="1" applyFont="1" applyFill="1" applyBorder="1" applyAlignment="1">
      <alignment horizontal="right" vertical="center"/>
    </xf>
    <xf numFmtId="40" fontId="25" fillId="5" borderId="10" xfId="7" applyNumberFormat="1" applyFont="1" applyFill="1" applyBorder="1" applyAlignment="1">
      <alignment horizontal="right" vertical="center"/>
    </xf>
    <xf numFmtId="40" fontId="25" fillId="5" borderId="11" xfId="7" applyNumberFormat="1" applyFont="1" applyFill="1" applyBorder="1" applyAlignment="1">
      <alignment horizontal="right" vertical="center"/>
    </xf>
    <xf numFmtId="40" fontId="18" fillId="5" borderId="10" xfId="7" applyNumberFormat="1" applyFont="1" applyFill="1" applyBorder="1" applyAlignment="1">
      <alignment horizontal="right" vertical="center"/>
    </xf>
    <xf numFmtId="40" fontId="22" fillId="0" borderId="19" xfId="7" applyNumberFormat="1" applyFont="1" applyFill="1" applyBorder="1" applyAlignment="1">
      <alignment horizontal="right" vertical="center"/>
    </xf>
    <xf numFmtId="0" fontId="18" fillId="0" borderId="10" xfId="5" applyFont="1" applyBorder="1" applyAlignment="1"/>
    <xf numFmtId="43" fontId="22" fillId="0" borderId="20" xfId="6" applyFont="1" applyBorder="1" applyAlignment="1"/>
    <xf numFmtId="3" fontId="23" fillId="0" borderId="21" xfId="5" applyNumberFormat="1" applyFont="1" applyFill="1" applyBorder="1" applyAlignment="1" applyProtection="1">
      <alignment horizontal="left" indent="5"/>
      <protection locked="0"/>
    </xf>
    <xf numFmtId="3" fontId="24" fillId="0" borderId="9" xfId="5" applyNumberFormat="1" applyFont="1" applyBorder="1" applyAlignment="1">
      <alignment horizontal="left" indent="1"/>
    </xf>
    <xf numFmtId="40" fontId="22" fillId="0" borderId="18" xfId="5" applyNumberFormat="1" applyFont="1" applyFill="1" applyBorder="1" applyAlignment="1">
      <alignment horizontal="right" vertical="center"/>
    </xf>
    <xf numFmtId="37" fontId="24" fillId="0" borderId="9" xfId="5" applyNumberFormat="1" applyFont="1" applyBorder="1" applyAlignment="1" applyProtection="1">
      <alignment horizontal="left" indent="4"/>
      <protection locked="0"/>
    </xf>
    <xf numFmtId="3" fontId="23" fillId="0" borderId="21" xfId="5" applyNumberFormat="1" applyFont="1" applyFill="1" applyBorder="1" applyAlignment="1" applyProtection="1">
      <alignment horizontal="center"/>
      <protection locked="0"/>
    </xf>
    <xf numFmtId="40" fontId="22" fillId="0" borderId="0" xfId="5" applyNumberFormat="1" applyFont="1" applyFill="1" applyBorder="1" applyAlignment="1">
      <alignment horizontal="right" vertical="center"/>
    </xf>
    <xf numFmtId="165" fontId="18" fillId="0" borderId="0" xfId="5" applyNumberFormat="1" applyFont="1" applyBorder="1" applyAlignment="1"/>
    <xf numFmtId="165" fontId="18" fillId="0" borderId="0" xfId="7" applyNumberFormat="1" applyFont="1" applyFill="1" applyBorder="1" applyAlignment="1">
      <alignment horizontal="right" vertical="center"/>
    </xf>
    <xf numFmtId="40" fontId="26" fillId="7" borderId="10" xfId="7" applyNumberFormat="1" applyFont="1" applyFill="1" applyBorder="1" applyAlignment="1">
      <alignment horizontal="right" vertical="center"/>
    </xf>
    <xf numFmtId="3" fontId="23" fillId="0" borderId="21" xfId="5" quotePrefix="1" applyNumberFormat="1" applyFont="1" applyFill="1" applyBorder="1" applyAlignment="1" applyProtection="1">
      <alignment horizontal="left"/>
      <protection locked="0"/>
    </xf>
    <xf numFmtId="40" fontId="22" fillId="0" borderId="7" xfId="7" applyNumberFormat="1" applyFont="1" applyFill="1" applyBorder="1" applyAlignment="1">
      <alignment horizontal="right" vertical="center"/>
    </xf>
    <xf numFmtId="40" fontId="22" fillId="0" borderId="10" xfId="7" applyNumberFormat="1" applyFont="1" applyFill="1" applyBorder="1" applyAlignment="1">
      <alignment horizontal="right" vertical="center"/>
    </xf>
    <xf numFmtId="3" fontId="24" fillId="0" borderId="21" xfId="5" quotePrefix="1" applyNumberFormat="1" applyFont="1" applyFill="1" applyBorder="1" applyAlignment="1" applyProtection="1">
      <alignment horizontal="left" indent="1"/>
      <protection locked="0"/>
    </xf>
    <xf numFmtId="43" fontId="22" fillId="0" borderId="7" xfId="8" applyFont="1" applyFill="1" applyBorder="1" applyAlignment="1">
      <alignment horizontal="right" vertical="center"/>
    </xf>
    <xf numFmtId="43" fontId="22" fillId="0" borderId="22" xfId="8" applyFont="1" applyFill="1" applyBorder="1" applyAlignment="1">
      <alignment horizontal="right" vertical="center"/>
    </xf>
    <xf numFmtId="43" fontId="22" fillId="0" borderId="0" xfId="8" applyFont="1" applyFill="1" applyBorder="1" applyAlignment="1">
      <alignment horizontal="right" vertical="center"/>
    </xf>
    <xf numFmtId="43" fontId="22" fillId="0" borderId="17" xfId="8" applyFont="1" applyFill="1" applyBorder="1" applyAlignment="1">
      <alignment horizontal="right" vertical="center"/>
    </xf>
    <xf numFmtId="3" fontId="27" fillId="0" borderId="21" xfId="5" quotePrefix="1" applyNumberFormat="1" applyFont="1" applyFill="1" applyBorder="1" applyAlignment="1" applyProtection="1">
      <alignment horizontal="center"/>
      <protection locked="0"/>
    </xf>
    <xf numFmtId="40" fontId="22" fillId="5" borderId="18" xfId="7" applyNumberFormat="1" applyFont="1" applyFill="1" applyBorder="1" applyAlignment="1">
      <alignment horizontal="right" vertical="center"/>
    </xf>
    <xf numFmtId="40" fontId="22" fillId="8" borderId="15" xfId="7" applyNumberFormat="1" applyFont="1" applyFill="1" applyBorder="1" applyAlignment="1">
      <alignment horizontal="right" vertical="center"/>
    </xf>
    <xf numFmtId="40" fontId="22" fillId="8" borderId="0" xfId="7" applyNumberFormat="1" applyFont="1" applyFill="1" applyBorder="1" applyAlignment="1">
      <alignment horizontal="right" vertical="center"/>
    </xf>
    <xf numFmtId="43" fontId="22" fillId="8" borderId="0" xfId="6" applyFont="1" applyFill="1" applyBorder="1" applyAlignment="1">
      <alignment horizontal="right" vertical="center"/>
    </xf>
    <xf numFmtId="3" fontId="23" fillId="0" borderId="9" xfId="5" applyNumberFormat="1" applyFont="1" applyFill="1" applyBorder="1" applyAlignment="1" applyProtection="1">
      <alignment horizontal="right"/>
      <protection locked="0"/>
    </xf>
    <xf numFmtId="3" fontId="23" fillId="9" borderId="21" xfId="5" applyNumberFormat="1" applyFont="1" applyFill="1" applyBorder="1" applyAlignment="1" applyProtection="1">
      <alignment horizontal="center"/>
      <protection locked="0"/>
    </xf>
    <xf numFmtId="167" fontId="22" fillId="9" borderId="18" xfId="5" applyNumberFormat="1" applyFont="1" applyFill="1" applyBorder="1" applyAlignment="1">
      <alignment horizontal="right" vertical="center"/>
    </xf>
    <xf numFmtId="40" fontId="22" fillId="9" borderId="18" xfId="5" applyNumberFormat="1" applyFont="1" applyFill="1" applyBorder="1" applyAlignment="1">
      <alignment horizontal="right" vertical="center"/>
    </xf>
    <xf numFmtId="43" fontId="22" fillId="9" borderId="18" xfId="6" applyFont="1" applyFill="1" applyBorder="1" applyAlignment="1">
      <alignment horizontal="right" vertical="center"/>
    </xf>
    <xf numFmtId="167" fontId="22" fillId="9" borderId="0" xfId="5" applyNumberFormat="1" applyFont="1" applyFill="1" applyBorder="1" applyAlignment="1">
      <alignment horizontal="right" vertical="center"/>
    </xf>
    <xf numFmtId="43" fontId="22" fillId="9" borderId="0" xfId="6" applyFont="1" applyFill="1" applyBorder="1" applyAlignment="1">
      <alignment horizontal="right" vertical="center"/>
    </xf>
    <xf numFmtId="167" fontId="18" fillId="0" borderId="11" xfId="7" applyNumberFormat="1" applyFont="1" applyFill="1" applyBorder="1" applyAlignment="1">
      <alignment horizontal="right" vertical="center"/>
    </xf>
    <xf numFmtId="168" fontId="18" fillId="0" borderId="0" xfId="5" applyNumberFormat="1" applyFont="1" applyBorder="1" applyAlignment="1"/>
    <xf numFmtId="43" fontId="22" fillId="0" borderId="15" xfId="8" applyFont="1" applyFill="1" applyBorder="1" applyAlignment="1">
      <alignment horizontal="right" vertical="center"/>
    </xf>
    <xf numFmtId="43" fontId="22" fillId="0" borderId="10" xfId="8" applyFont="1" applyFill="1" applyBorder="1" applyAlignment="1">
      <alignment horizontal="right" vertical="center"/>
    </xf>
    <xf numFmtId="43" fontId="22" fillId="0" borderId="23" xfId="8" applyFont="1" applyFill="1" applyBorder="1" applyAlignment="1">
      <alignment horizontal="right" vertical="center"/>
    </xf>
    <xf numFmtId="3" fontId="23" fillId="9" borderId="24" xfId="5" quotePrefix="1" applyNumberFormat="1" applyFont="1" applyFill="1" applyBorder="1" applyAlignment="1" applyProtection="1">
      <alignment horizontal="left"/>
      <protection locked="0"/>
    </xf>
    <xf numFmtId="40" fontId="22" fillId="10" borderId="7" xfId="7" applyNumberFormat="1" applyFont="1" applyFill="1" applyBorder="1" applyAlignment="1">
      <alignment horizontal="right" vertical="center"/>
    </xf>
    <xf numFmtId="40" fontId="22" fillId="10" borderId="10" xfId="7" applyNumberFormat="1" applyFont="1" applyFill="1" applyBorder="1" applyAlignment="1">
      <alignment horizontal="right" vertical="center"/>
    </xf>
    <xf numFmtId="40" fontId="22" fillId="10" borderId="25" xfId="7" applyNumberFormat="1" applyFont="1" applyFill="1" applyBorder="1" applyAlignment="1">
      <alignment horizontal="right" vertical="center"/>
    </xf>
    <xf numFmtId="40" fontId="22" fillId="10" borderId="26" xfId="7" applyNumberFormat="1" applyFont="1" applyFill="1" applyBorder="1" applyAlignment="1">
      <alignment horizontal="right" vertical="center"/>
    </xf>
    <xf numFmtId="40" fontId="22" fillId="10" borderId="11" xfId="7" applyNumberFormat="1" applyFont="1" applyFill="1" applyBorder="1" applyAlignment="1">
      <alignment horizontal="right" vertical="center"/>
    </xf>
    <xf numFmtId="40" fontId="22" fillId="10" borderId="0" xfId="7" applyNumberFormat="1" applyFont="1" applyFill="1" applyBorder="1" applyAlignment="1">
      <alignment horizontal="right" vertical="center"/>
    </xf>
    <xf numFmtId="43" fontId="22" fillId="10" borderId="0" xfId="6" applyFont="1" applyFill="1" applyBorder="1" applyAlignment="1">
      <alignment horizontal="right" vertical="center"/>
    </xf>
    <xf numFmtId="167" fontId="18" fillId="0" borderId="0" xfId="5" applyNumberFormat="1" applyFont="1" applyBorder="1" applyAlignment="1"/>
    <xf numFmtId="3" fontId="23" fillId="9" borderId="9" xfId="5" applyNumberFormat="1" applyFont="1" applyFill="1" applyBorder="1" applyAlignment="1" applyProtection="1">
      <alignment horizontal="left"/>
      <protection locked="0"/>
    </xf>
    <xf numFmtId="167" fontId="22" fillId="9" borderId="10" xfId="7" applyNumberFormat="1" applyFont="1" applyFill="1" applyBorder="1" applyAlignment="1">
      <alignment horizontal="right" vertical="center"/>
    </xf>
    <xf numFmtId="167" fontId="22" fillId="9" borderId="11" xfId="7" applyNumberFormat="1" applyFont="1" applyFill="1" applyBorder="1" applyAlignment="1">
      <alignment horizontal="right" vertical="center"/>
    </xf>
    <xf numFmtId="167" fontId="22" fillId="9" borderId="0" xfId="7" applyNumberFormat="1" applyFont="1" applyFill="1" applyBorder="1" applyAlignment="1">
      <alignment horizontal="right" vertical="center"/>
    </xf>
    <xf numFmtId="3" fontId="23" fillId="9" borderId="14" xfId="5" applyNumberFormat="1" applyFont="1" applyFill="1" applyBorder="1" applyAlignment="1" applyProtection="1">
      <protection locked="0"/>
    </xf>
    <xf numFmtId="43" fontId="22" fillId="9" borderId="15" xfId="6" applyFont="1" applyFill="1" applyBorder="1" applyAlignment="1">
      <alignment horizontal="right" vertical="center"/>
    </xf>
    <xf numFmtId="167" fontId="22" fillId="9" borderId="10" xfId="8" applyNumberFormat="1" applyFont="1" applyFill="1" applyBorder="1" applyAlignment="1">
      <alignment horizontal="right" vertical="center"/>
    </xf>
    <xf numFmtId="167" fontId="22" fillId="9" borderId="15" xfId="8" applyNumberFormat="1" applyFont="1" applyFill="1" applyBorder="1" applyAlignment="1">
      <alignment horizontal="right" vertical="center"/>
    </xf>
    <xf numFmtId="167" fontId="22" fillId="9" borderId="23" xfId="8" applyNumberFormat="1" applyFont="1" applyFill="1" applyBorder="1" applyAlignment="1">
      <alignment horizontal="right" vertical="center"/>
    </xf>
    <xf numFmtId="167" fontId="22" fillId="9" borderId="27" xfId="8" applyNumberFormat="1" applyFont="1" applyFill="1" applyBorder="1" applyAlignment="1">
      <alignment horizontal="right" vertical="center"/>
    </xf>
    <xf numFmtId="167" fontId="22" fillId="9" borderId="11" xfId="8" applyNumberFormat="1" applyFont="1" applyFill="1" applyBorder="1" applyAlignment="1">
      <alignment horizontal="right" vertical="center"/>
    </xf>
    <xf numFmtId="167" fontId="22" fillId="9" borderId="0" xfId="8" applyNumberFormat="1" applyFont="1" applyFill="1" applyBorder="1" applyAlignment="1">
      <alignment horizontal="right" vertical="center"/>
    </xf>
    <xf numFmtId="3" fontId="23" fillId="0" borderId="28" xfId="5" applyNumberFormat="1" applyFont="1" applyFill="1" applyBorder="1" applyAlignment="1" applyProtection="1">
      <alignment horizontal="left"/>
      <protection locked="0"/>
    </xf>
    <xf numFmtId="169" fontId="22" fillId="0" borderId="29" xfId="8" applyNumberFormat="1" applyFont="1" applyFill="1" applyBorder="1" applyAlignment="1">
      <alignment horizontal="right" vertical="center"/>
    </xf>
    <xf numFmtId="43" fontId="22" fillId="0" borderId="29" xfId="6" applyFont="1" applyFill="1" applyBorder="1" applyAlignment="1">
      <alignment horizontal="right" vertical="center"/>
    </xf>
    <xf numFmtId="43" fontId="22" fillId="0" borderId="30" xfId="6" applyFont="1" applyFill="1" applyBorder="1" applyAlignment="1">
      <alignment horizontal="right" vertical="center"/>
    </xf>
    <xf numFmtId="0" fontId="24" fillId="9" borderId="0" xfId="5" applyFont="1" applyFill="1" applyBorder="1" applyAlignment="1"/>
    <xf numFmtId="40" fontId="18" fillId="9" borderId="31" xfId="5" applyNumberFormat="1" applyFont="1" applyFill="1" applyBorder="1" applyAlignment="1">
      <alignment horizontal="right" vertical="center"/>
    </xf>
    <xf numFmtId="40" fontId="18" fillId="9" borderId="0" xfId="5" applyNumberFormat="1" applyFont="1" applyFill="1" applyBorder="1" applyAlignment="1">
      <alignment horizontal="right" vertical="center"/>
    </xf>
    <xf numFmtId="40" fontId="22" fillId="0" borderId="32" xfId="5" applyNumberFormat="1" applyFont="1" applyBorder="1" applyAlignment="1">
      <alignment horizontal="right" vertical="center"/>
    </xf>
    <xf numFmtId="165" fontId="22" fillId="0" borderId="32" xfId="5" applyNumberFormat="1" applyFont="1" applyBorder="1" applyAlignment="1">
      <alignment horizontal="right" vertical="center"/>
    </xf>
    <xf numFmtId="165" fontId="22" fillId="0" borderId="0" xfId="5" applyNumberFormat="1" applyFont="1" applyBorder="1" applyAlignment="1">
      <alignment horizontal="right" vertical="center"/>
    </xf>
    <xf numFmtId="43" fontId="22" fillId="0" borderId="0" xfId="6" applyFont="1" applyBorder="1" applyAlignment="1">
      <alignment horizontal="right" vertical="center"/>
    </xf>
    <xf numFmtId="40" fontId="18" fillId="0" borderId="32" xfId="5" applyNumberFormat="1" applyFont="1" applyBorder="1" applyAlignment="1">
      <alignment horizontal="right" vertical="center"/>
    </xf>
    <xf numFmtId="165" fontId="18" fillId="0" borderId="32" xfId="5" applyNumberFormat="1" applyFont="1" applyBorder="1" applyAlignment="1">
      <alignment horizontal="right" vertical="center"/>
    </xf>
    <xf numFmtId="165" fontId="18" fillId="0" borderId="0" xfId="5" applyNumberFormat="1" applyFont="1" applyBorder="1" applyAlignment="1">
      <alignment horizontal="right" vertical="center"/>
    </xf>
    <xf numFmtId="40" fontId="22" fillId="4" borderId="0" xfId="5" applyNumberFormat="1" applyFont="1" applyFill="1" applyBorder="1" applyAlignment="1" applyProtection="1">
      <alignment horizontal="center" vertical="center"/>
      <protection locked="0"/>
    </xf>
    <xf numFmtId="0" fontId="18" fillId="0" borderId="13" xfId="5" applyFont="1" applyFill="1" applyBorder="1" applyAlignment="1"/>
    <xf numFmtId="43" fontId="18" fillId="0" borderId="34" xfId="8" applyFont="1" applyFill="1" applyBorder="1" applyAlignment="1">
      <alignment horizontal="right" vertical="center"/>
    </xf>
    <xf numFmtId="43" fontId="18" fillId="0" borderId="13" xfId="8" applyFont="1" applyFill="1" applyBorder="1" applyAlignment="1">
      <alignment horizontal="right" vertical="center"/>
    </xf>
    <xf numFmtId="43" fontId="18" fillId="0" borderId="0" xfId="8" applyFont="1" applyFill="1" applyBorder="1" applyAlignment="1">
      <alignment horizontal="right" vertical="center"/>
    </xf>
    <xf numFmtId="43" fontId="18" fillId="0" borderId="34" xfId="8" applyFont="1" applyBorder="1" applyAlignment="1"/>
    <xf numFmtId="43" fontId="18" fillId="0" borderId="13" xfId="8" applyFont="1" applyBorder="1" applyAlignment="1"/>
    <xf numFmtId="43" fontId="18" fillId="0" borderId="0" xfId="8" applyFont="1" applyBorder="1" applyAlignment="1"/>
    <xf numFmtId="0" fontId="18" fillId="0" borderId="13" xfId="9" applyFont="1" applyFill="1" applyBorder="1"/>
    <xf numFmtId="43" fontId="18" fillId="0" borderId="34" xfId="10" applyNumberFormat="1" applyFont="1" applyFill="1" applyBorder="1" applyAlignment="1">
      <alignment horizontal="right" vertical="center"/>
    </xf>
    <xf numFmtId="43" fontId="18" fillId="0" borderId="13" xfId="10" applyNumberFormat="1" applyFont="1" applyFill="1" applyBorder="1" applyAlignment="1">
      <alignment horizontal="right" vertical="center"/>
    </xf>
    <xf numFmtId="43" fontId="18" fillId="0" borderId="0" xfId="10" applyNumberFormat="1" applyFont="1" applyFill="1" applyBorder="1" applyAlignment="1">
      <alignment horizontal="right" vertical="center"/>
    </xf>
    <xf numFmtId="40" fontId="18" fillId="0" borderId="34" xfId="5" applyNumberFormat="1" applyFont="1" applyFill="1" applyBorder="1" applyAlignment="1">
      <alignment horizontal="right" vertical="center"/>
    </xf>
    <xf numFmtId="40" fontId="18" fillId="0" borderId="13" xfId="5" applyNumberFormat="1" applyFont="1" applyFill="1" applyBorder="1" applyAlignment="1">
      <alignment horizontal="right" vertical="center"/>
    </xf>
    <xf numFmtId="10" fontId="18" fillId="0" borderId="34" xfId="10" applyNumberFormat="1" applyFont="1" applyFill="1" applyBorder="1" applyAlignment="1">
      <alignment horizontal="right" vertical="center"/>
    </xf>
    <xf numFmtId="10" fontId="18" fillId="0" borderId="13" xfId="10" applyNumberFormat="1" applyFont="1" applyFill="1" applyBorder="1" applyAlignment="1">
      <alignment horizontal="right" vertical="center"/>
    </xf>
    <xf numFmtId="10" fontId="18" fillId="0" borderId="0" xfId="10" applyNumberFormat="1" applyFont="1" applyFill="1" applyBorder="1" applyAlignment="1">
      <alignment horizontal="right" vertical="center"/>
    </xf>
    <xf numFmtId="0" fontId="18" fillId="0" borderId="20" xfId="5" applyFont="1" applyFill="1" applyBorder="1" applyAlignment="1"/>
    <xf numFmtId="40" fontId="18" fillId="0" borderId="35" xfId="5" applyNumberFormat="1" applyFont="1" applyFill="1" applyBorder="1" applyAlignment="1">
      <alignment horizontal="right" vertical="center"/>
    </xf>
    <xf numFmtId="40" fontId="18" fillId="0" borderId="20" xfId="5" applyNumberFormat="1" applyFont="1" applyFill="1" applyBorder="1" applyAlignment="1">
      <alignment horizontal="right" vertical="center"/>
    </xf>
    <xf numFmtId="40" fontId="18" fillId="9" borderId="0" xfId="5" applyNumberFormat="1" applyFont="1" applyFill="1" applyBorder="1" applyAlignment="1"/>
    <xf numFmtId="40" fontId="25" fillId="9" borderId="0" xfId="5" applyNumberFormat="1" applyFont="1" applyFill="1" applyBorder="1" applyAlignment="1">
      <alignment horizontal="right" vertical="center"/>
    </xf>
    <xf numFmtId="43" fontId="18" fillId="9" borderId="0" xfId="6" applyFont="1" applyFill="1" applyBorder="1" applyAlignment="1">
      <alignment horizontal="right" vertical="center"/>
    </xf>
    <xf numFmtId="43" fontId="18" fillId="0" borderId="0" xfId="6" applyFont="1" applyAlignment="1"/>
    <xf numFmtId="43" fontId="18" fillId="0" borderId="0" xfId="8" applyFont="1" applyAlignment="1"/>
    <xf numFmtId="43" fontId="18" fillId="0" borderId="0" xfId="5" applyNumberFormat="1" applyFont="1" applyBorder="1" applyAlignment="1"/>
    <xf numFmtId="43" fontId="18" fillId="0" borderId="36" xfId="8" applyFont="1" applyBorder="1" applyAlignment="1"/>
    <xf numFmtId="0" fontId="26" fillId="12" borderId="0" xfId="5" applyFont="1" applyFill="1" applyBorder="1" applyAlignment="1"/>
    <xf numFmtId="43" fontId="25" fillId="12" borderId="0" xfId="8" applyFont="1" applyFill="1" applyBorder="1" applyAlignment="1"/>
    <xf numFmtId="43" fontId="26" fillId="12" borderId="0" xfId="8" applyFont="1" applyFill="1" applyBorder="1" applyAlignment="1"/>
    <xf numFmtId="43" fontId="18" fillId="0" borderId="0" xfId="8" applyNumberFormat="1" applyFont="1" applyAlignment="1"/>
    <xf numFmtId="43" fontId="18" fillId="0" borderId="0" xfId="8" applyFont="1" applyBorder="1"/>
    <xf numFmtId="43" fontId="18" fillId="0" borderId="0" xfId="6" applyFont="1" applyBorder="1"/>
    <xf numFmtId="40" fontId="18" fillId="5" borderId="5" xfId="7" applyNumberFormat="1" applyFont="1" applyFill="1" applyBorder="1" applyAlignment="1">
      <alignment horizontal="right" vertical="center"/>
    </xf>
    <xf numFmtId="40" fontId="18" fillId="5" borderId="0" xfId="7" applyNumberFormat="1" applyFont="1" applyFill="1" applyBorder="1" applyAlignment="1">
      <alignment horizontal="right" vertical="center"/>
    </xf>
    <xf numFmtId="43" fontId="18" fillId="5" borderId="0" xfId="6" applyFont="1" applyFill="1" applyBorder="1" applyAlignment="1">
      <alignment horizontal="right" vertical="center"/>
    </xf>
    <xf numFmtId="43" fontId="22" fillId="0" borderId="0" xfId="8" applyFont="1" applyBorder="1"/>
    <xf numFmtId="43" fontId="18" fillId="0" borderId="0" xfId="6" applyFont="1" applyBorder="1" applyAlignment="1">
      <alignment horizontal="center"/>
    </xf>
    <xf numFmtId="0" fontId="22" fillId="0" borderId="0" xfId="5" applyFont="1" applyBorder="1" applyAlignment="1"/>
    <xf numFmtId="40" fontId="22" fillId="0" borderId="0" xfId="5" applyNumberFormat="1" applyFont="1" applyBorder="1" applyAlignment="1"/>
    <xf numFmtId="40" fontId="22" fillId="9" borderId="0" xfId="8" applyNumberFormat="1" applyFont="1" applyFill="1" applyBorder="1" applyAlignment="1">
      <alignment horizontal="right" vertical="center"/>
    </xf>
    <xf numFmtId="43" fontId="25" fillId="0" borderId="0" xfId="6" applyFont="1" applyBorder="1" applyAlignment="1"/>
    <xf numFmtId="0" fontId="21" fillId="0" borderId="0" xfId="6" quotePrefix="1" applyNumberFormat="1" applyFont="1" applyFill="1" applyBorder="1" applyAlignment="1"/>
    <xf numFmtId="0" fontId="28" fillId="0" borderId="0" xfId="0" applyFont="1"/>
    <xf numFmtId="0" fontId="30" fillId="0" borderId="0" xfId="0" applyFont="1" applyAlignment="1" applyProtection="1">
      <alignment horizontal="center"/>
      <protection hidden="1"/>
    </xf>
    <xf numFmtId="0" fontId="28" fillId="0" borderId="0" xfId="0" applyFont="1" applyAlignment="1">
      <alignment horizontal="right" vertical="center"/>
    </xf>
    <xf numFmtId="0" fontId="30" fillId="0" borderId="0" xfId="0" applyFont="1" applyAlignment="1" applyProtection="1">
      <alignment horizontal="right" vertical="center"/>
      <protection hidden="1"/>
    </xf>
    <xf numFmtId="0" fontId="30" fillId="0" borderId="0" xfId="0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right" vertical="center"/>
      <protection hidden="1"/>
    </xf>
    <xf numFmtId="0" fontId="0" fillId="0" borderId="0" xfId="0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horizontal="right" vertical="center"/>
    </xf>
    <xf numFmtId="165" fontId="8" fillId="0" borderId="0" xfId="3" applyNumberFormat="1" applyFont="1" applyFill="1" applyBorder="1" applyAlignment="1" applyProtection="1">
      <alignment horizontal="right" vertical="center"/>
      <protection hidden="1"/>
    </xf>
    <xf numFmtId="165" fontId="11" fillId="0" borderId="0" xfId="3" applyNumberFormat="1" applyFont="1" applyFill="1" applyBorder="1" applyAlignment="1" applyProtection="1">
      <alignment horizontal="right" vertical="center"/>
      <protection hidden="1"/>
    </xf>
    <xf numFmtId="165" fontId="0" fillId="0" borderId="0" xfId="0" applyNumberFormat="1" applyAlignment="1">
      <alignment horizontal="right" vertical="center"/>
    </xf>
    <xf numFmtId="166" fontId="10" fillId="0" borderId="0" xfId="4" applyNumberFormat="1" applyFont="1" applyFill="1" applyBorder="1" applyAlignment="1" applyProtection="1">
      <alignment horizontal="right" vertical="center"/>
      <protection hidden="1"/>
    </xf>
    <xf numFmtId="165" fontId="13" fillId="0" borderId="0" xfId="3" applyNumberFormat="1" applyFont="1" applyFill="1" applyBorder="1" applyAlignment="1" applyProtection="1">
      <alignment horizontal="right" vertical="center"/>
      <protection hidden="1"/>
    </xf>
    <xf numFmtId="0" fontId="12" fillId="0" borderId="0" xfId="2" applyNumberFormat="1" applyFont="1" applyFill="1" applyBorder="1" applyAlignment="1" applyProtection="1">
      <alignment horizontal="right" vertical="center"/>
      <protection hidden="1"/>
    </xf>
    <xf numFmtId="164" fontId="8" fillId="0" borderId="0" xfId="1" applyNumberFormat="1" applyFont="1" applyFill="1" applyBorder="1" applyAlignment="1" applyProtection="1">
      <alignment horizontal="right" vertical="center"/>
      <protection hidden="1"/>
    </xf>
    <xf numFmtId="164" fontId="8" fillId="0" borderId="0" xfId="1" applyNumberFormat="1" applyFont="1" applyFill="1" applyBorder="1" applyAlignment="1" applyProtection="1">
      <alignment horizontal="right"/>
      <protection hidden="1"/>
    </xf>
    <xf numFmtId="0" fontId="10" fillId="0" borderId="0" xfId="2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Fill="1" applyBorder="1" applyAlignment="1" applyProtection="1">
      <alignment horizontal="right" vertical="center"/>
      <protection hidden="1"/>
    </xf>
    <xf numFmtId="164" fontId="14" fillId="0" borderId="0" xfId="1" applyNumberFormat="1" applyFont="1" applyFill="1" applyBorder="1" applyAlignment="1" applyProtection="1">
      <alignment horizontal="right" vertical="center"/>
      <protection hidden="1"/>
    </xf>
    <xf numFmtId="0" fontId="13" fillId="0" borderId="0" xfId="0" applyFont="1" applyFill="1" applyBorder="1" applyAlignment="1" applyProtection="1">
      <alignment horizontal="right" vertical="center"/>
      <protection hidden="1"/>
    </xf>
    <xf numFmtId="165" fontId="14" fillId="0" borderId="0" xfId="3" applyNumberFormat="1" applyFont="1" applyFill="1" applyBorder="1" applyAlignment="1" applyProtection="1">
      <alignment horizontal="right" vertical="center"/>
      <protection hidden="1"/>
    </xf>
    <xf numFmtId="164" fontId="10" fillId="0" borderId="0" xfId="1" applyNumberFormat="1" applyFont="1" applyFill="1" applyBorder="1" applyAlignment="1" applyProtection="1">
      <alignment horizontal="right" vertical="center" wrapText="1"/>
      <protection hidden="1"/>
    </xf>
    <xf numFmtId="0" fontId="10" fillId="0" borderId="0" xfId="2" applyNumberFormat="1" applyFont="1" applyFill="1" applyBorder="1" applyAlignment="1" applyProtection="1">
      <alignment horizontal="right" vertical="center" wrapText="1"/>
      <protection hidden="1"/>
    </xf>
    <xf numFmtId="0" fontId="10" fillId="0" borderId="0" xfId="4" applyNumberFormat="1" applyFont="1" applyFill="1" applyBorder="1" applyAlignment="1" applyProtection="1">
      <alignment horizontal="right" vertical="center"/>
      <protection hidden="1"/>
    </xf>
    <xf numFmtId="164" fontId="12" fillId="0" borderId="0" xfId="1" applyNumberFormat="1" applyFont="1" applyFill="1" applyBorder="1" applyAlignment="1" applyProtection="1">
      <alignment horizontal="right" vertical="center"/>
      <protection hidden="1"/>
    </xf>
    <xf numFmtId="0" fontId="15" fillId="0" borderId="0" xfId="2" applyNumberFormat="1" applyFont="1" applyFill="1" applyBorder="1" applyAlignment="1" applyProtection="1">
      <alignment horizontal="right" vertical="center"/>
      <protection hidden="1"/>
    </xf>
    <xf numFmtId="165" fontId="16" fillId="0" borderId="0" xfId="3" applyNumberFormat="1" applyFont="1" applyFill="1" applyBorder="1" applyAlignment="1" applyProtection="1">
      <alignment horizontal="right" vertical="center"/>
      <protection hidden="1"/>
    </xf>
    <xf numFmtId="165" fontId="14" fillId="3" borderId="1" xfId="3" applyNumberFormat="1" applyFont="1" applyFill="1" applyBorder="1" applyAlignment="1" applyProtection="1">
      <alignment horizontal="right" vertical="center"/>
      <protection hidden="1"/>
    </xf>
    <xf numFmtId="165" fontId="14" fillId="3" borderId="0" xfId="3" applyNumberFormat="1" applyFont="1" applyFill="1" applyBorder="1" applyAlignment="1" applyProtection="1">
      <alignment horizontal="right" vertical="center"/>
      <protection hidden="1"/>
    </xf>
    <xf numFmtId="165" fontId="14" fillId="3" borderId="2" xfId="3" applyNumberFormat="1" applyFont="1" applyFill="1" applyBorder="1" applyAlignment="1" applyProtection="1">
      <alignment horizontal="right" vertical="center"/>
      <protection hidden="1"/>
    </xf>
    <xf numFmtId="43" fontId="0" fillId="0" borderId="0" xfId="1" applyFont="1" applyAlignment="1">
      <alignment horizontal="right" vertical="center"/>
    </xf>
    <xf numFmtId="170" fontId="10" fillId="0" borderId="0" xfId="2" applyNumberFormat="1" applyFont="1" applyFill="1" applyBorder="1" applyAlignment="1" applyProtection="1">
      <alignment horizontal="right" vertical="center" wrapText="1"/>
      <protection hidden="1"/>
    </xf>
    <xf numFmtId="0" fontId="11" fillId="12" borderId="0" xfId="3" applyFont="1" applyFill="1" applyBorder="1" applyAlignment="1" applyProtection="1">
      <alignment horizontal="left" vertical="center"/>
      <protection hidden="1"/>
    </xf>
    <xf numFmtId="165" fontId="10" fillId="0" borderId="0" xfId="4" applyNumberFormat="1" applyFont="1" applyFill="1" applyBorder="1" applyAlignment="1" applyProtection="1">
      <alignment horizontal="right" vertical="center"/>
      <protection hidden="1"/>
    </xf>
    <xf numFmtId="165" fontId="12" fillId="0" borderId="0" xfId="2" applyNumberFormat="1" applyFont="1" applyFill="1" applyBorder="1" applyAlignment="1" applyProtection="1">
      <alignment horizontal="right" vertical="center"/>
      <protection hidden="1"/>
    </xf>
    <xf numFmtId="165" fontId="8" fillId="0" borderId="0" xfId="1" applyNumberFormat="1" applyFont="1" applyFill="1" applyBorder="1" applyAlignment="1" applyProtection="1">
      <alignment horizontal="right" vertical="center"/>
      <protection hidden="1"/>
    </xf>
    <xf numFmtId="165" fontId="8" fillId="0" borderId="0" xfId="1" applyNumberFormat="1" applyFont="1" applyFill="1" applyBorder="1" applyAlignment="1" applyProtection="1">
      <alignment horizontal="right"/>
      <protection hidden="1"/>
    </xf>
    <xf numFmtId="165" fontId="10" fillId="0" borderId="0" xfId="2" applyNumberFormat="1" applyFont="1" applyFill="1" applyBorder="1" applyAlignment="1" applyProtection="1">
      <alignment horizontal="right" vertical="center"/>
      <protection hidden="1"/>
    </xf>
    <xf numFmtId="165" fontId="11" fillId="0" borderId="0" xfId="0" applyNumberFormat="1" applyFont="1" applyFill="1" applyBorder="1" applyAlignment="1" applyProtection="1">
      <alignment horizontal="right" vertical="center"/>
      <protection hidden="1"/>
    </xf>
    <xf numFmtId="165" fontId="13" fillId="0" borderId="0" xfId="0" applyNumberFormat="1" applyFont="1" applyFill="1" applyBorder="1" applyAlignment="1" applyProtection="1">
      <alignment horizontal="right" vertical="center"/>
      <protection hidden="1"/>
    </xf>
    <xf numFmtId="165" fontId="31" fillId="0" borderId="0" xfId="2" applyNumberFormat="1" applyFont="1" applyFill="1" applyBorder="1" applyAlignment="1" applyProtection="1">
      <alignment horizontal="right" vertical="center"/>
      <protection hidden="1"/>
    </xf>
    <xf numFmtId="0" fontId="29" fillId="0" borderId="0" xfId="0" applyFont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64" fontId="0" fillId="0" borderId="0" xfId="1" applyNumberFormat="1" applyFont="1" applyAlignment="1">
      <alignment horizontal="right" vertical="center"/>
    </xf>
    <xf numFmtId="164" fontId="11" fillId="0" borderId="0" xfId="3" applyNumberFormat="1" applyFont="1" applyFill="1" applyBorder="1" applyAlignment="1" applyProtection="1">
      <alignment horizontal="right" vertical="center"/>
      <protection hidden="1"/>
    </xf>
    <xf numFmtId="164" fontId="11" fillId="12" borderId="0" xfId="3" applyNumberFormat="1" applyFont="1" applyFill="1" applyBorder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17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9" fillId="0" borderId="0" xfId="0" applyFont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right" vertical="center" wrapText="1"/>
      <protection hidden="1"/>
    </xf>
    <xf numFmtId="0" fontId="2" fillId="2" borderId="2" xfId="0" applyFont="1" applyFill="1" applyBorder="1" applyAlignment="1" applyProtection="1">
      <alignment horizontal="right" vertical="center" wrapText="1"/>
      <protection hidden="1"/>
    </xf>
    <xf numFmtId="40" fontId="22" fillId="4" borderId="3" xfId="5" applyNumberFormat="1" applyFont="1" applyFill="1" applyBorder="1" applyAlignment="1" applyProtection="1">
      <alignment horizontal="center" vertical="center"/>
      <protection locked="0"/>
    </xf>
    <xf numFmtId="40" fontId="22" fillId="4" borderId="4" xfId="5" applyNumberFormat="1" applyFont="1" applyFill="1" applyBorder="1" applyAlignment="1" applyProtection="1">
      <alignment horizontal="center" vertical="center"/>
      <protection locked="0"/>
    </xf>
    <xf numFmtId="43" fontId="19" fillId="0" borderId="0" xfId="6" applyFont="1" applyFill="1" applyBorder="1" applyAlignment="1">
      <alignment horizontal="center"/>
    </xf>
    <xf numFmtId="0" fontId="20" fillId="0" borderId="0" xfId="5" applyFont="1" applyFill="1" applyBorder="1" applyAlignment="1">
      <alignment horizontal="center"/>
    </xf>
    <xf numFmtId="40" fontId="22" fillId="4" borderId="5" xfId="5" applyNumberFormat="1" applyFont="1" applyFill="1" applyBorder="1" applyAlignment="1" applyProtection="1">
      <alignment horizontal="center" vertical="center"/>
      <protection locked="0"/>
    </xf>
    <xf numFmtId="40" fontId="22" fillId="4" borderId="33" xfId="5" applyNumberFormat="1" applyFont="1" applyFill="1" applyBorder="1" applyAlignment="1" applyProtection="1">
      <alignment horizontal="center" vertical="center"/>
      <protection locked="0"/>
    </xf>
    <xf numFmtId="40" fontId="22" fillId="4" borderId="23" xfId="5" applyNumberFormat="1" applyFont="1" applyFill="1" applyBorder="1" applyAlignment="1" applyProtection="1">
      <alignment horizontal="center" vertical="center"/>
      <protection locked="0"/>
    </xf>
    <xf numFmtId="0" fontId="22" fillId="11" borderId="19" xfId="9" applyFont="1" applyFill="1" applyBorder="1" applyAlignment="1">
      <alignment horizontal="center" vertical="center" wrapText="1"/>
    </xf>
    <xf numFmtId="0" fontId="22" fillId="11" borderId="20" xfId="9" applyFont="1" applyFill="1" applyBorder="1" applyAlignment="1">
      <alignment horizontal="center" vertical="center" wrapText="1"/>
    </xf>
  </cellXfs>
  <cellStyles count="12">
    <cellStyle name="Comma 2 12 29" xfId="2"/>
    <cellStyle name="Comma 2 13" xfId="4"/>
    <cellStyle name="Millares" xfId="1" builtinId="3"/>
    <cellStyle name="Millares 10 2 2" xfId="8"/>
    <cellStyle name="Millares 2" xfId="6"/>
    <cellStyle name="Millares_Edeeste Flujo de Caja-Ene,Mar 2006" xfId="7"/>
    <cellStyle name="Normal" xfId="0" builtinId="0"/>
    <cellStyle name="Normal 10 10" xfId="5"/>
    <cellStyle name="Normal 2" xfId="11"/>
    <cellStyle name="Normal 2 14 2" xfId="3"/>
    <cellStyle name="Normal_Estado de Resultados y Flujo 2005 última versión" xfId="9"/>
    <cellStyle name="Porcentaj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109267</xdr:colOff>
      <xdr:row>0</xdr:row>
      <xdr:rowOff>125888</xdr:rowOff>
    </xdr:from>
    <xdr:to>
      <xdr:col>10</xdr:col>
      <xdr:colOff>854702</xdr:colOff>
      <xdr:row>3</xdr:row>
      <xdr:rowOff>87330</xdr:rowOff>
    </xdr:to>
    <xdr:pic>
      <xdr:nvPicPr>
        <xdr:cNvPr id="2" name="Picture 4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2017" y="125888"/>
          <a:ext cx="1316935" cy="554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GridLines="0" tabSelected="1" zoomScaleNormal="100" zoomScaleSheetLayoutView="85" workbookViewId="0">
      <selection activeCell="L5" sqref="L5"/>
    </sheetView>
  </sheetViews>
  <sheetFormatPr baseColWidth="10" defaultRowHeight="15" x14ac:dyDescent="0.25"/>
  <cols>
    <col min="1" max="1" width="31.5703125" customWidth="1"/>
    <col min="2" max="2" width="12.28515625" style="205" customWidth="1"/>
    <col min="3" max="3" width="8.28515625" style="205" customWidth="1"/>
    <col min="4" max="4" width="7.42578125" style="205" bestFit="1" customWidth="1"/>
    <col min="5" max="5" width="8.7109375" style="205" customWidth="1"/>
    <col min="6" max="6" width="8.140625" style="205" customWidth="1"/>
    <col min="7" max="7" width="9.85546875" style="205" customWidth="1"/>
    <col min="8" max="8" width="7.7109375" style="205" customWidth="1"/>
    <col min="9" max="10" width="7.42578125" style="205" bestFit="1" customWidth="1"/>
    <col min="11" max="11" width="12.140625" style="205" customWidth="1"/>
    <col min="12" max="12" width="1.28515625" style="205" customWidth="1"/>
  </cols>
  <sheetData>
    <row r="1" spans="1:12" ht="15.75" x14ac:dyDescent="0.25">
      <c r="A1" s="198"/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1:12" ht="15.75" x14ac:dyDescent="0.25">
      <c r="A2" s="248" t="s">
        <v>51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39"/>
    </row>
    <row r="3" spans="1:12" ht="15.75" x14ac:dyDescent="0.25">
      <c r="A3" s="249" t="s">
        <v>208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0"/>
    </row>
    <row r="4" spans="1:12" ht="15.75" x14ac:dyDescent="0.25">
      <c r="A4" s="250" t="s">
        <v>211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41"/>
    </row>
    <row r="5" spans="1:12" ht="15.75" x14ac:dyDescent="0.25">
      <c r="A5" s="250" t="s">
        <v>24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41"/>
    </row>
    <row r="6" spans="1:12" ht="15.75" thickBot="1" x14ac:dyDescent="0.3">
      <c r="A6" s="2"/>
      <c r="B6" s="203"/>
      <c r="C6" s="203"/>
      <c r="D6" s="203"/>
      <c r="E6" s="203"/>
      <c r="F6" s="204"/>
    </row>
    <row r="7" spans="1:12" ht="15" customHeight="1" x14ac:dyDescent="0.25">
      <c r="A7" s="3"/>
      <c r="B7" s="245" t="s">
        <v>206</v>
      </c>
      <c r="C7" s="247">
        <v>42736</v>
      </c>
      <c r="D7" s="247">
        <v>42767</v>
      </c>
      <c r="E7" s="247">
        <v>42795</v>
      </c>
      <c r="F7" s="247">
        <v>42826</v>
      </c>
      <c r="G7" s="247">
        <v>42856</v>
      </c>
      <c r="H7" s="247">
        <v>42887</v>
      </c>
      <c r="I7" s="247">
        <v>42917</v>
      </c>
      <c r="J7" s="247">
        <v>42948</v>
      </c>
      <c r="K7" s="245" t="s">
        <v>210</v>
      </c>
      <c r="L7" s="241"/>
    </row>
    <row r="8" spans="1:12" ht="25.5" customHeight="1" thickBot="1" x14ac:dyDescent="0.3">
      <c r="A8" s="4"/>
      <c r="B8" s="246"/>
      <c r="C8" s="246"/>
      <c r="D8" s="246"/>
      <c r="E8" s="246"/>
      <c r="F8" s="246"/>
      <c r="G8" s="246"/>
      <c r="H8" s="246"/>
      <c r="I8" s="246"/>
      <c r="J8" s="246"/>
      <c r="K8" s="246"/>
      <c r="L8" s="241"/>
    </row>
    <row r="9" spans="1:12" ht="15.75" x14ac:dyDescent="0.25">
      <c r="A9" s="5" t="s">
        <v>26</v>
      </c>
      <c r="B9" s="206">
        <v>30571.439897399436</v>
      </c>
      <c r="C9" s="206">
        <v>2305.6639084500007</v>
      </c>
      <c r="D9" s="206">
        <v>2295.4423896000008</v>
      </c>
      <c r="E9" s="206">
        <v>2320.7737362700013</v>
      </c>
      <c r="F9" s="206">
        <v>2405.029040960002</v>
      </c>
      <c r="G9" s="206">
        <v>2397.444322689998</v>
      </c>
      <c r="H9" s="206">
        <v>2635.1873282299939</v>
      </c>
      <c r="I9" s="206">
        <v>2724.9296596299978</v>
      </c>
      <c r="J9" s="206">
        <v>2786.0575990900011</v>
      </c>
      <c r="K9" s="206">
        <v>19870.527984919998</v>
      </c>
      <c r="L9" s="241"/>
    </row>
    <row r="10" spans="1:12" ht="15.75" x14ac:dyDescent="0.25">
      <c r="A10" s="6" t="s">
        <v>27</v>
      </c>
      <c r="B10" s="207">
        <v>29971.689897399436</v>
      </c>
      <c r="C10" s="231">
        <v>2278.6429245800009</v>
      </c>
      <c r="D10" s="231">
        <v>2222.4742475000007</v>
      </c>
      <c r="E10" s="231">
        <v>2294.5784443600014</v>
      </c>
      <c r="F10" s="231">
        <v>2375.683865710002</v>
      </c>
      <c r="G10" s="231">
        <v>2347.9818080899981</v>
      </c>
      <c r="H10" s="231">
        <v>2572.9145787599941</v>
      </c>
      <c r="I10" s="231">
        <v>2629.7773560999976</v>
      </c>
      <c r="J10" s="231">
        <v>2745.5237258300012</v>
      </c>
      <c r="K10" s="208">
        <v>19467.576950929997</v>
      </c>
      <c r="L10" s="241"/>
    </row>
    <row r="11" spans="1:12" ht="15.75" x14ac:dyDescent="0.25">
      <c r="A11" s="6" t="s">
        <v>28</v>
      </c>
      <c r="B11" s="231">
        <v>599.75</v>
      </c>
      <c r="C11" s="25">
        <v>27.020983869999998</v>
      </c>
      <c r="D11" s="25">
        <v>72.968142099999994</v>
      </c>
      <c r="E11" s="25">
        <v>26.195291909999998</v>
      </c>
      <c r="F11" s="25">
        <v>29.34517525</v>
      </c>
      <c r="G11" s="25">
        <v>49.462514599999999</v>
      </c>
      <c r="H11" s="25">
        <v>62.272749469999994</v>
      </c>
      <c r="I11" s="25">
        <v>95.15230353000004</v>
      </c>
      <c r="J11" s="25">
        <v>40.533873259999986</v>
      </c>
      <c r="K11" s="208">
        <v>402.95103399000004</v>
      </c>
      <c r="L11" s="241"/>
    </row>
    <row r="12" spans="1:12" ht="15.75" x14ac:dyDescent="0.25">
      <c r="A12" s="9" t="s">
        <v>30</v>
      </c>
      <c r="B12" s="233">
        <v>35823.881874370549</v>
      </c>
      <c r="C12" s="234">
        <v>2608.7144241897731</v>
      </c>
      <c r="D12" s="234">
        <v>2753.6589836979251</v>
      </c>
      <c r="E12" s="234">
        <v>2960.2978981373999</v>
      </c>
      <c r="F12" s="234">
        <v>2763.5942975839889</v>
      </c>
      <c r="G12" s="234">
        <v>2912.95968929316</v>
      </c>
      <c r="H12" s="234">
        <v>2958.8479519462226</v>
      </c>
      <c r="I12" s="234">
        <v>3123.488077630032</v>
      </c>
      <c r="J12" s="234">
        <v>3097.8365065919938</v>
      </c>
      <c r="K12" s="233">
        <v>23179.397829070498</v>
      </c>
      <c r="L12" s="241"/>
    </row>
    <row r="13" spans="1:12" ht="15.75" x14ac:dyDescent="0.25">
      <c r="A13" s="10" t="s">
        <v>31</v>
      </c>
      <c r="B13" s="206">
        <v>28085.825326560545</v>
      </c>
      <c r="C13" s="206">
        <v>2174.0732705197743</v>
      </c>
      <c r="D13" s="206">
        <v>2185.0138952479269</v>
      </c>
      <c r="E13" s="206">
        <v>2288.2301427374009</v>
      </c>
      <c r="F13" s="206">
        <v>2110.9382046339902</v>
      </c>
      <c r="G13" s="206">
        <v>2323.9542234131609</v>
      </c>
      <c r="H13" s="206">
        <v>2380.0349875162237</v>
      </c>
      <c r="I13" s="206">
        <v>2414.1024356400317</v>
      </c>
      <c r="J13" s="206">
        <v>2496.8570214019937</v>
      </c>
      <c r="K13" s="206">
        <v>18373.204181110505</v>
      </c>
      <c r="L13" s="241"/>
    </row>
    <row r="14" spans="1:12" ht="9" customHeight="1" x14ac:dyDescent="0.25">
      <c r="A14" s="11"/>
      <c r="B14" s="235"/>
      <c r="C14" s="207"/>
      <c r="D14" s="207"/>
      <c r="E14" s="207"/>
      <c r="F14" s="236"/>
      <c r="G14" s="208"/>
      <c r="H14" s="208"/>
      <c r="I14" s="208"/>
      <c r="J14" s="208"/>
      <c r="K14" s="208"/>
      <c r="L14" s="241"/>
    </row>
    <row r="15" spans="1:12" ht="15.75" x14ac:dyDescent="0.25">
      <c r="A15" s="10" t="s">
        <v>32</v>
      </c>
      <c r="B15" s="206">
        <v>5219.2058508900009</v>
      </c>
      <c r="C15" s="206">
        <v>274.27642901999877</v>
      </c>
      <c r="D15" s="206">
        <v>399.26118675999862</v>
      </c>
      <c r="E15" s="206">
        <v>377.08090567999898</v>
      </c>
      <c r="F15" s="206">
        <v>451.47600783999843</v>
      </c>
      <c r="G15" s="206">
        <v>380.23630705999881</v>
      </c>
      <c r="H15" s="206">
        <v>383.27042231999906</v>
      </c>
      <c r="I15" s="206">
        <v>441.01893399000016</v>
      </c>
      <c r="J15" s="206">
        <v>420.42857370000036</v>
      </c>
      <c r="K15" s="206">
        <v>3127.0487663699932</v>
      </c>
      <c r="L15" s="241"/>
    </row>
    <row r="16" spans="1:12" ht="12" customHeight="1" x14ac:dyDescent="0.25">
      <c r="A16" s="13"/>
      <c r="B16" s="232"/>
      <c r="C16" s="210"/>
      <c r="D16" s="210"/>
      <c r="E16" s="210"/>
      <c r="F16" s="237"/>
      <c r="G16" s="208"/>
      <c r="H16" s="208"/>
      <c r="I16" s="208"/>
      <c r="J16" s="208"/>
      <c r="K16" s="208"/>
      <c r="L16" s="241"/>
    </row>
    <row r="17" spans="1:12" ht="15.75" x14ac:dyDescent="0.25">
      <c r="A17" s="14" t="s">
        <v>33</v>
      </c>
      <c r="B17" s="218">
        <v>1154.35069692</v>
      </c>
      <c r="C17" s="218">
        <v>77.612784900000008</v>
      </c>
      <c r="D17" s="218">
        <v>85.542346549999991</v>
      </c>
      <c r="E17" s="218">
        <v>91.645264110000014</v>
      </c>
      <c r="F17" s="218">
        <v>76.58538184999999</v>
      </c>
      <c r="G17" s="218">
        <v>82.20160734000001</v>
      </c>
      <c r="H17" s="218">
        <v>83.349160049999995</v>
      </c>
      <c r="I17" s="218">
        <v>90.516226430000003</v>
      </c>
      <c r="J17" s="218">
        <v>89.763911489999998</v>
      </c>
      <c r="K17" s="218">
        <v>677.21668272000011</v>
      </c>
      <c r="L17" s="241"/>
    </row>
    <row r="18" spans="1:12" ht="15.75" x14ac:dyDescent="0.25">
      <c r="A18" s="15" t="s">
        <v>34</v>
      </c>
      <c r="B18" s="207">
        <v>255.20000000000002</v>
      </c>
      <c r="C18" s="242">
        <v>15.20969689</v>
      </c>
      <c r="D18" s="242">
        <v>23.59557968</v>
      </c>
      <c r="E18" s="242">
        <v>24.30935741</v>
      </c>
      <c r="F18" s="242">
        <v>13.49663969</v>
      </c>
      <c r="G18" s="242">
        <v>15.19638595</v>
      </c>
      <c r="H18" s="242">
        <v>15.335425819999999</v>
      </c>
      <c r="I18" s="242">
        <v>15.72081376</v>
      </c>
      <c r="J18" s="242">
        <v>15.920946440000002</v>
      </c>
      <c r="K18" s="242">
        <v>138.78484564000001</v>
      </c>
      <c r="L18" s="241"/>
    </row>
    <row r="19" spans="1:12" ht="15.75" x14ac:dyDescent="0.25">
      <c r="A19" s="17" t="s">
        <v>40</v>
      </c>
      <c r="B19" s="238">
        <v>899.15069691999997</v>
      </c>
      <c r="C19" s="1">
        <v>62.403088010000005</v>
      </c>
      <c r="D19" s="1">
        <v>61.946766869999998</v>
      </c>
      <c r="E19" s="1">
        <v>67.33590670000001</v>
      </c>
      <c r="F19" s="1">
        <v>63.088742159999995</v>
      </c>
      <c r="G19" s="1">
        <v>67.005221390000003</v>
      </c>
      <c r="H19" s="1">
        <v>68.013734229999997</v>
      </c>
      <c r="I19" s="1">
        <v>74.795412670000005</v>
      </c>
      <c r="J19" s="1">
        <v>73.842965050000004</v>
      </c>
      <c r="K19" s="242">
        <v>538.43183708000004</v>
      </c>
      <c r="L19" s="241"/>
    </row>
    <row r="21" spans="1:12" ht="15.75" x14ac:dyDescent="0.25">
      <c r="A21" s="18" t="s">
        <v>41</v>
      </c>
      <c r="B21" s="238">
        <v>1364.5</v>
      </c>
      <c r="C21" s="243">
        <v>82.751939750000034</v>
      </c>
      <c r="D21" s="243">
        <v>83.841555140000054</v>
      </c>
      <c r="E21" s="243">
        <v>203.34158561000007</v>
      </c>
      <c r="F21" s="243">
        <v>124.59470325999997</v>
      </c>
      <c r="G21" s="243">
        <v>126.56755147999996</v>
      </c>
      <c r="H21" s="243">
        <v>112.19338205999996</v>
      </c>
      <c r="I21" s="243">
        <v>177.85048157000003</v>
      </c>
      <c r="J21" s="244">
        <v>90.786999999999992</v>
      </c>
      <c r="K21" s="242">
        <v>1001.9281988700002</v>
      </c>
      <c r="L21" s="241"/>
    </row>
    <row r="22" spans="1:12" ht="15.75" x14ac:dyDescent="0.25">
      <c r="A22" s="10" t="s">
        <v>42</v>
      </c>
      <c r="B22" s="206">
        <v>9174.9097653756544</v>
      </c>
      <c r="C22" s="206">
        <v>52.22204141000006</v>
      </c>
      <c r="D22" s="206">
        <v>33.282267020000035</v>
      </c>
      <c r="E22" s="206">
        <v>179.35435414999998</v>
      </c>
      <c r="F22" s="206">
        <v>200.02488087000003</v>
      </c>
      <c r="G22" s="206">
        <v>66.584052330000006</v>
      </c>
      <c r="H22" s="206">
        <v>228.85197575000001</v>
      </c>
      <c r="I22" s="206">
        <v>408.3514135499999</v>
      </c>
      <c r="J22" s="206">
        <v>133.70501469000001</v>
      </c>
      <c r="K22" s="206">
        <v>1302.3759997700001</v>
      </c>
      <c r="L22" s="241"/>
    </row>
    <row r="23" spans="1:12" ht="15.75" x14ac:dyDescent="0.25">
      <c r="A23" s="11" t="s">
        <v>43</v>
      </c>
      <c r="B23" s="218">
        <v>9174.9097653756544</v>
      </c>
      <c r="C23" s="218">
        <v>52.22204141000006</v>
      </c>
      <c r="D23" s="218">
        <v>33.282267020000035</v>
      </c>
      <c r="E23" s="218">
        <v>179.35435414999998</v>
      </c>
      <c r="F23" s="218">
        <v>200.02488087000003</v>
      </c>
      <c r="G23" s="218">
        <v>66.584052330000006</v>
      </c>
      <c r="H23" s="218">
        <v>228.85197575000001</v>
      </c>
      <c r="I23" s="218">
        <v>408.3514135499999</v>
      </c>
      <c r="J23" s="218">
        <v>133.70501469000001</v>
      </c>
      <c r="K23" s="218">
        <v>1302.3759997700001</v>
      </c>
      <c r="L23" s="241"/>
    </row>
    <row r="24" spans="1:12" ht="9" customHeight="1" thickBot="1" x14ac:dyDescent="0.3">
      <c r="A24" s="19" t="s">
        <v>44</v>
      </c>
      <c r="B24" s="223"/>
      <c r="C24" s="224">
        <v>0</v>
      </c>
      <c r="D24" s="224">
        <v>0</v>
      </c>
      <c r="E24" s="224">
        <v>0</v>
      </c>
      <c r="F24" s="224">
        <v>0</v>
      </c>
      <c r="G24" s="224">
        <v>0</v>
      </c>
      <c r="H24" s="224">
        <v>0</v>
      </c>
      <c r="I24" s="224">
        <v>0</v>
      </c>
      <c r="J24" s="224"/>
      <c r="K24" s="224">
        <v>0</v>
      </c>
      <c r="L24" s="241"/>
    </row>
    <row r="25" spans="1:12" x14ac:dyDescent="0.25">
      <c r="A25" s="20" t="s">
        <v>45</v>
      </c>
      <c r="B25" s="225">
        <v>2485.6145708388904</v>
      </c>
      <c r="C25" s="225">
        <v>131.59063793022642</v>
      </c>
      <c r="D25" s="225">
        <v>110.42849435207381</v>
      </c>
      <c r="E25" s="225">
        <v>32.543593532600426</v>
      </c>
      <c r="F25" s="225">
        <v>294.09083632601187</v>
      </c>
      <c r="G25" s="225">
        <v>73.4900992768371</v>
      </c>
      <c r="H25" s="225">
        <v>255.15234071377017</v>
      </c>
      <c r="I25" s="225">
        <v>310.82722398996611</v>
      </c>
      <c r="J25" s="225">
        <v>289.20057768800734</v>
      </c>
      <c r="K25" s="225">
        <v>1497.3238038094933</v>
      </c>
      <c r="L25"/>
    </row>
    <row r="26" spans="1:12" x14ac:dyDescent="0.25">
      <c r="A26" s="21" t="s">
        <v>46</v>
      </c>
      <c r="B26" s="226">
        <v>-5252.441976971113</v>
      </c>
      <c r="C26" s="226">
        <v>-303.05051573977244</v>
      </c>
      <c r="D26" s="226">
        <v>-458.21659409792437</v>
      </c>
      <c r="E26" s="226">
        <v>-639.52416186739856</v>
      </c>
      <c r="F26" s="226">
        <v>-358.5652566239869</v>
      </c>
      <c r="G26" s="226">
        <v>-515.51536660316197</v>
      </c>
      <c r="H26" s="226">
        <v>-323.66062371622866</v>
      </c>
      <c r="I26" s="226">
        <v>-398.55841800003418</v>
      </c>
      <c r="J26" s="226">
        <v>-311.77890750199276</v>
      </c>
      <c r="K26" s="226">
        <v>-3308.8698441505003</v>
      </c>
      <c r="L26"/>
    </row>
    <row r="27" spans="1:12" ht="15.75" thickBot="1" x14ac:dyDescent="0.3">
      <c r="A27" s="22" t="s">
        <v>205</v>
      </c>
      <c r="B27" s="227">
        <v>-14427.351742346767</v>
      </c>
      <c r="C27" s="227">
        <v>-355.27255714977252</v>
      </c>
      <c r="D27" s="227">
        <v>-491.49886111792443</v>
      </c>
      <c r="E27" s="227">
        <v>-818.87851601739851</v>
      </c>
      <c r="F27" s="227">
        <v>-558.59013749398696</v>
      </c>
      <c r="G27" s="227">
        <v>-582.09941893316193</v>
      </c>
      <c r="H27" s="227">
        <v>-552.51259946622872</v>
      </c>
      <c r="I27" s="227">
        <v>-806.90983155003414</v>
      </c>
      <c r="J27" s="227">
        <v>-445.48392219199275</v>
      </c>
      <c r="K27" s="227">
        <v>-4611.2458439205002</v>
      </c>
      <c r="L27">
        <v>0</v>
      </c>
    </row>
    <row r="28" spans="1:12" x14ac:dyDescent="0.25">
      <c r="L28"/>
    </row>
    <row r="29" spans="1:12" x14ac:dyDescent="0.25">
      <c r="A29" s="230" t="s">
        <v>207</v>
      </c>
      <c r="B29" s="208"/>
      <c r="C29" s="228"/>
      <c r="D29" s="228"/>
      <c r="E29" s="228"/>
      <c r="F29" s="228"/>
      <c r="G29" s="228"/>
      <c r="H29" s="228"/>
      <c r="I29" s="228"/>
      <c r="J29" s="228"/>
      <c r="K29" s="228"/>
      <c r="L29"/>
    </row>
    <row r="30" spans="1:12" ht="21" customHeight="1" x14ac:dyDescent="0.25">
      <c r="A30" s="23"/>
      <c r="C30" s="228"/>
      <c r="D30" s="228"/>
      <c r="E30" s="228"/>
      <c r="F30" s="228"/>
      <c r="G30" s="228"/>
      <c r="H30" s="228"/>
      <c r="I30" s="228"/>
      <c r="J30" s="228"/>
      <c r="K30" s="228"/>
      <c r="L30" s="241"/>
    </row>
    <row r="31" spans="1:12" ht="18.75" customHeight="1" x14ac:dyDescent="0.25">
      <c r="A31" s="23"/>
      <c r="C31" s="228"/>
      <c r="D31" s="228"/>
      <c r="E31" s="228"/>
      <c r="F31" s="228"/>
      <c r="G31" s="228"/>
      <c r="H31" s="228"/>
      <c r="I31" s="228"/>
      <c r="J31" s="228"/>
      <c r="K31" s="228"/>
      <c r="L31" s="241"/>
    </row>
    <row r="32" spans="1:12" ht="15.75" x14ac:dyDescent="0.25">
      <c r="A32" s="23"/>
      <c r="L32" s="241"/>
    </row>
  </sheetData>
  <mergeCells count="14">
    <mergeCell ref="K7:K8"/>
    <mergeCell ref="J7:J8"/>
    <mergeCell ref="A2:K2"/>
    <mergeCell ref="A3:K3"/>
    <mergeCell ref="A4:K4"/>
    <mergeCell ref="A5:K5"/>
    <mergeCell ref="B7:B8"/>
    <mergeCell ref="C7:C8"/>
    <mergeCell ref="D7:D8"/>
    <mergeCell ref="E7:E8"/>
    <mergeCell ref="F7:F8"/>
    <mergeCell ref="G7:G8"/>
    <mergeCell ref="H7:H8"/>
    <mergeCell ref="I7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4"/>
  <sheetViews>
    <sheetView showGridLines="0" zoomScaleNormal="100" workbookViewId="0">
      <selection activeCell="B18" sqref="B18"/>
    </sheetView>
  </sheetViews>
  <sheetFormatPr baseColWidth="10" defaultRowHeight="15" outlineLevelRow="1" x14ac:dyDescent="0.25"/>
  <cols>
    <col min="1" max="1" width="3.42578125" customWidth="1"/>
    <col min="2" max="2" width="42.28515625" customWidth="1"/>
    <col min="3" max="3" width="11.7109375" style="205" customWidth="1"/>
    <col min="4" max="4" width="12.28515625" style="205" customWidth="1"/>
    <col min="5" max="5" width="11.28515625" style="205" bestFit="1" customWidth="1"/>
    <col min="6" max="7" width="11.5703125" style="205" bestFit="1" customWidth="1"/>
    <col min="8" max="8" width="11.28515625" style="205" bestFit="1" customWidth="1"/>
    <col min="9" max="11" width="11.5703125" style="205" bestFit="1" customWidth="1"/>
    <col min="12" max="12" width="13.42578125" style="205" customWidth="1"/>
  </cols>
  <sheetData>
    <row r="1" spans="2:12" ht="15.75" x14ac:dyDescent="0.25">
      <c r="B1" s="198"/>
      <c r="C1" s="200"/>
      <c r="D1" s="200"/>
      <c r="E1" s="200"/>
      <c r="F1" s="200"/>
      <c r="G1" s="200"/>
      <c r="H1" s="200"/>
      <c r="I1" s="200"/>
      <c r="J1" s="200"/>
      <c r="K1" s="200"/>
      <c r="L1" s="200"/>
    </row>
    <row r="2" spans="2:12" ht="15.75" x14ac:dyDescent="0.25">
      <c r="B2" s="248" t="s">
        <v>21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</row>
    <row r="3" spans="2:12" ht="15.75" x14ac:dyDescent="0.25">
      <c r="B3" s="249" t="s">
        <v>22</v>
      </c>
      <c r="C3" s="249"/>
      <c r="D3" s="249"/>
      <c r="E3" s="249"/>
      <c r="F3" s="249"/>
      <c r="G3" s="249"/>
      <c r="H3" s="249"/>
      <c r="I3" s="249"/>
      <c r="J3" s="249"/>
      <c r="K3" s="249"/>
      <c r="L3" s="249"/>
    </row>
    <row r="4" spans="2:12" ht="15.75" x14ac:dyDescent="0.25">
      <c r="B4" s="199"/>
      <c r="C4" s="201"/>
      <c r="D4" s="201"/>
      <c r="E4" s="201"/>
      <c r="F4" s="201"/>
      <c r="G4" s="201"/>
      <c r="H4" s="202"/>
      <c r="I4" s="200"/>
      <c r="J4" s="200"/>
      <c r="K4" s="200"/>
      <c r="L4" s="200"/>
    </row>
    <row r="5" spans="2:12" ht="15.75" x14ac:dyDescent="0.25">
      <c r="B5" s="250" t="s">
        <v>23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</row>
    <row r="6" spans="2:12" ht="15.75" x14ac:dyDescent="0.25">
      <c r="B6" s="250" t="s">
        <v>24</v>
      </c>
      <c r="C6" s="250"/>
      <c r="D6" s="250"/>
      <c r="E6" s="250"/>
      <c r="F6" s="250"/>
      <c r="G6" s="250"/>
      <c r="H6" s="250"/>
      <c r="I6" s="250"/>
      <c r="J6" s="250"/>
      <c r="K6" s="250"/>
      <c r="L6" s="250"/>
    </row>
    <row r="7" spans="2:12" ht="15.75" thickBot="1" x14ac:dyDescent="0.3">
      <c r="B7" s="2"/>
      <c r="C7" s="203"/>
      <c r="D7" s="203"/>
      <c r="E7" s="203"/>
      <c r="F7" s="203"/>
      <c r="G7" s="203"/>
      <c r="H7" s="204"/>
    </row>
    <row r="8" spans="2:12" x14ac:dyDescent="0.25">
      <c r="B8" s="3"/>
      <c r="C8" s="251" t="s">
        <v>47</v>
      </c>
      <c r="D8" s="245" t="s">
        <v>48</v>
      </c>
      <c r="E8" s="251" t="s">
        <v>11</v>
      </c>
      <c r="F8" s="251" t="s">
        <v>12</v>
      </c>
      <c r="G8" s="251" t="s">
        <v>13</v>
      </c>
      <c r="H8" s="251" t="s">
        <v>14</v>
      </c>
      <c r="I8" s="251" t="s">
        <v>15</v>
      </c>
      <c r="J8" s="251" t="s">
        <v>16</v>
      </c>
      <c r="K8" s="251" t="s">
        <v>17</v>
      </c>
      <c r="L8" s="245" t="s">
        <v>25</v>
      </c>
    </row>
    <row r="9" spans="2:12" ht="15.75" thickBot="1" x14ac:dyDescent="0.3">
      <c r="B9" s="4"/>
      <c r="C9" s="252"/>
      <c r="D9" s="246"/>
      <c r="E9" s="252"/>
      <c r="F9" s="252"/>
      <c r="G9" s="252"/>
      <c r="H9" s="252"/>
      <c r="I9" s="252"/>
      <c r="J9" s="252"/>
      <c r="K9" s="252"/>
      <c r="L9" s="246"/>
    </row>
    <row r="10" spans="2:12" x14ac:dyDescent="0.25">
      <c r="B10" s="5" t="s">
        <v>26</v>
      </c>
      <c r="C10" s="206" t="e">
        <f t="shared" ref="C10" si="0">+C11+C12</f>
        <v>#REF!</v>
      </c>
      <c r="D10" s="206" t="e">
        <f t="shared" ref="D10" si="1">+D11+D12</f>
        <v>#REF!</v>
      </c>
      <c r="E10" s="206" t="e">
        <f t="shared" ref="E10:L10" si="2">+E11+E12</f>
        <v>#REF!</v>
      </c>
      <c r="F10" s="206" t="e">
        <f t="shared" si="2"/>
        <v>#REF!</v>
      </c>
      <c r="G10" s="206" t="e">
        <f t="shared" si="2"/>
        <v>#REF!</v>
      </c>
      <c r="H10" s="206" t="e">
        <f t="shared" si="2"/>
        <v>#REF!</v>
      </c>
      <c r="I10" s="206" t="e">
        <f t="shared" si="2"/>
        <v>#REF!</v>
      </c>
      <c r="J10" s="206" t="e">
        <f t="shared" si="2"/>
        <v>#REF!</v>
      </c>
      <c r="K10" s="206" t="e">
        <f t="shared" si="2"/>
        <v>#REF!</v>
      </c>
      <c r="L10" s="206" t="e">
        <f t="shared" si="2"/>
        <v>#REF!</v>
      </c>
    </row>
    <row r="11" spans="2:12" x14ac:dyDescent="0.25">
      <c r="B11" s="6" t="s">
        <v>27</v>
      </c>
      <c r="C11" s="207" t="e">
        <f>+#REF!</f>
        <v>#REF!</v>
      </c>
      <c r="D11" s="207" t="e">
        <f>+#REF!</f>
        <v>#REF!</v>
      </c>
      <c r="E11" s="207" t="e">
        <f>+#REF!-E13</f>
        <v>#REF!</v>
      </c>
      <c r="F11" s="207" t="e">
        <f>+#REF!-F13</f>
        <v>#REF!</v>
      </c>
      <c r="G11" s="207" t="e">
        <f>+#REF!-G13</f>
        <v>#REF!</v>
      </c>
      <c r="H11" s="207" t="e">
        <f>+#REF!-H13</f>
        <v>#REF!</v>
      </c>
      <c r="I11" s="207" t="e">
        <f>+#REF!-I13</f>
        <v>#REF!</v>
      </c>
      <c r="J11" s="207" t="e">
        <f>+#REF!-J13</f>
        <v>#REF!</v>
      </c>
      <c r="K11" s="207" t="e">
        <f>+#REF!-K13</f>
        <v>#REF!</v>
      </c>
      <c r="L11" s="208" t="e">
        <f>SUM(E11:K11)</f>
        <v>#REF!</v>
      </c>
    </row>
    <row r="12" spans="2:12" x14ac:dyDescent="0.25">
      <c r="B12" s="6" t="s">
        <v>28</v>
      </c>
      <c r="C12" s="209" t="e">
        <f>+C13+C14</f>
        <v>#REF!</v>
      </c>
      <c r="D12" s="209" t="e">
        <f t="shared" ref="D12:K12" si="3">+D13+D14</f>
        <v>#REF!</v>
      </c>
      <c r="E12" s="209" t="e">
        <f t="shared" si="3"/>
        <v>#REF!</v>
      </c>
      <c r="F12" s="209" t="e">
        <f t="shared" si="3"/>
        <v>#REF!</v>
      </c>
      <c r="G12" s="209" t="e">
        <f t="shared" si="3"/>
        <v>#REF!</v>
      </c>
      <c r="H12" s="209" t="e">
        <f t="shared" si="3"/>
        <v>#REF!</v>
      </c>
      <c r="I12" s="209" t="e">
        <f t="shared" si="3"/>
        <v>#REF!</v>
      </c>
      <c r="J12" s="209" t="e">
        <f t="shared" si="3"/>
        <v>#REF!</v>
      </c>
      <c r="K12" s="209" t="e">
        <f t="shared" si="3"/>
        <v>#REF!</v>
      </c>
      <c r="L12" s="208" t="e">
        <f>SUM(E12:K12)</f>
        <v>#REF!</v>
      </c>
    </row>
    <row r="13" spans="2:12" hidden="1" outlineLevel="1" x14ac:dyDescent="0.25">
      <c r="B13" s="8" t="s">
        <v>209</v>
      </c>
      <c r="C13" s="209" t="e">
        <f>+#REF!</f>
        <v>#REF!</v>
      </c>
      <c r="D13" s="209" t="e">
        <f>+#REF!</f>
        <v>#REF!</v>
      </c>
      <c r="E13" s="210" t="e">
        <f>+#REF!</f>
        <v>#REF!</v>
      </c>
      <c r="F13" s="210" t="e">
        <f>+#REF!</f>
        <v>#REF!</v>
      </c>
      <c r="G13" s="210" t="e">
        <f>+#REF!</f>
        <v>#REF!</v>
      </c>
      <c r="H13" s="210" t="e">
        <f>+#REF!</f>
        <v>#REF!</v>
      </c>
      <c r="I13" s="210" t="e">
        <f>+#REF!</f>
        <v>#REF!</v>
      </c>
      <c r="J13" s="210" t="e">
        <f>+#REF!</f>
        <v>#REF!</v>
      </c>
      <c r="K13" s="210" t="e">
        <f>+#REF!</f>
        <v>#REF!</v>
      </c>
      <c r="L13" s="210" t="e">
        <f>SUM(E13:K13)</f>
        <v>#REF!</v>
      </c>
    </row>
    <row r="14" spans="2:12" hidden="1" outlineLevel="1" x14ac:dyDescent="0.25">
      <c r="B14" s="8" t="s">
        <v>29</v>
      </c>
      <c r="C14" s="211"/>
      <c r="D14" s="211"/>
      <c r="E14" s="210"/>
      <c r="F14" s="210"/>
      <c r="G14" s="210"/>
      <c r="H14" s="210"/>
      <c r="I14" s="210"/>
      <c r="J14" s="210"/>
      <c r="K14" s="210"/>
      <c r="L14" s="210">
        <f>SUM(E14:K14)</f>
        <v>0</v>
      </c>
    </row>
    <row r="15" spans="2:12" collapsed="1" x14ac:dyDescent="0.25">
      <c r="B15" s="9" t="s">
        <v>30</v>
      </c>
      <c r="C15" s="212" t="e">
        <f>+C16+C18+C30+C39</f>
        <v>#REF!</v>
      </c>
      <c r="D15" s="212" t="e">
        <f t="shared" ref="D15:L15" si="4">+D16+D18+D30+D39</f>
        <v>#REF!</v>
      </c>
      <c r="E15" s="213" t="e">
        <f t="shared" si="4"/>
        <v>#REF!</v>
      </c>
      <c r="F15" s="213" t="e">
        <f t="shared" si="4"/>
        <v>#REF!</v>
      </c>
      <c r="G15" s="213" t="e">
        <f t="shared" si="4"/>
        <v>#REF!</v>
      </c>
      <c r="H15" s="213" t="e">
        <f t="shared" si="4"/>
        <v>#REF!</v>
      </c>
      <c r="I15" s="213" t="e">
        <f t="shared" si="4"/>
        <v>#REF!</v>
      </c>
      <c r="J15" s="213" t="e">
        <f t="shared" si="4"/>
        <v>#REF!</v>
      </c>
      <c r="K15" s="213" t="e">
        <f t="shared" si="4"/>
        <v>#REF!</v>
      </c>
      <c r="L15" s="212" t="e">
        <f t="shared" si="4"/>
        <v>#REF!</v>
      </c>
    </row>
    <row r="16" spans="2:12" x14ac:dyDescent="0.25">
      <c r="B16" s="10" t="s">
        <v>31</v>
      </c>
      <c r="C16" s="206" t="e">
        <f>+#REF!</f>
        <v>#REF!</v>
      </c>
      <c r="D16" s="206" t="e">
        <f>+#REF!</f>
        <v>#REF!</v>
      </c>
      <c r="E16" s="206" t="e">
        <f>+#REF!</f>
        <v>#REF!</v>
      </c>
      <c r="F16" s="206" t="e">
        <f>+#REF!</f>
        <v>#REF!</v>
      </c>
      <c r="G16" s="206" t="e">
        <f>+#REF!</f>
        <v>#REF!</v>
      </c>
      <c r="H16" s="206" t="e">
        <f>+#REF!</f>
        <v>#REF!</v>
      </c>
      <c r="I16" s="206" t="e">
        <f>+#REF!</f>
        <v>#REF!</v>
      </c>
      <c r="J16" s="206" t="e">
        <f>+#REF!</f>
        <v>#REF!</v>
      </c>
      <c r="K16" s="206" t="e">
        <f>+#REF!</f>
        <v>#REF!</v>
      </c>
      <c r="L16" s="206" t="e">
        <f>SUM(E16:K16)</f>
        <v>#REF!</v>
      </c>
    </row>
    <row r="17" spans="2:12" ht="9" customHeight="1" x14ac:dyDescent="0.25">
      <c r="B17" s="11"/>
      <c r="C17" s="214"/>
      <c r="D17" s="214"/>
      <c r="E17" s="207"/>
      <c r="F17" s="207"/>
      <c r="G17" s="207"/>
      <c r="H17" s="215"/>
    </row>
    <row r="18" spans="2:12" x14ac:dyDescent="0.25">
      <c r="B18" s="10" t="s">
        <v>32</v>
      </c>
      <c r="C18" s="206" t="e">
        <f t="shared" ref="C18:D18" si="5">SUM(C19:C28)</f>
        <v>#REF!</v>
      </c>
      <c r="D18" s="206" t="e">
        <f t="shared" si="5"/>
        <v>#REF!</v>
      </c>
      <c r="E18" s="206" t="e">
        <f>SUM(E19:E28)</f>
        <v>#REF!</v>
      </c>
      <c r="F18" s="206" t="e">
        <f t="shared" ref="F18:L18" si="6">SUM(F19:F28)</f>
        <v>#REF!</v>
      </c>
      <c r="G18" s="206" t="e">
        <f t="shared" si="6"/>
        <v>#REF!</v>
      </c>
      <c r="H18" s="206" t="e">
        <f t="shared" si="6"/>
        <v>#REF!</v>
      </c>
      <c r="I18" s="206" t="e">
        <f t="shared" si="6"/>
        <v>#REF!</v>
      </c>
      <c r="J18" s="206" t="e">
        <f t="shared" si="6"/>
        <v>#REF!</v>
      </c>
      <c r="K18" s="206" t="e">
        <f t="shared" si="6"/>
        <v>#REF!</v>
      </c>
      <c r="L18" s="206" t="e">
        <f t="shared" si="6"/>
        <v>#REF!</v>
      </c>
    </row>
    <row r="19" spans="2:12" hidden="1" outlineLevel="1" x14ac:dyDescent="0.25">
      <c r="B19" s="12" t="s">
        <v>0</v>
      </c>
      <c r="C19" s="216" t="e">
        <f>+VLOOKUP(B19,#REF!,2, FALSE)</f>
        <v>#REF!</v>
      </c>
      <c r="D19" s="216" t="e">
        <f>+VLOOKUP(B19,#REF!,3, FALSE)</f>
        <v>#REF!</v>
      </c>
      <c r="E19" s="207" t="e">
        <f>+#REF!</f>
        <v>#REF!</v>
      </c>
      <c r="F19" s="207" t="e">
        <f>+#REF!</f>
        <v>#REF!</v>
      </c>
      <c r="G19" s="207" t="e">
        <f>+#REF!</f>
        <v>#REF!</v>
      </c>
      <c r="H19" s="207" t="e">
        <f>+#REF!</f>
        <v>#REF!</v>
      </c>
      <c r="I19" s="207" t="e">
        <f>+#REF!</f>
        <v>#REF!</v>
      </c>
      <c r="J19" s="207" t="e">
        <f>+#REF!</f>
        <v>#REF!</v>
      </c>
      <c r="K19" s="207" t="e">
        <f>+#REF!</f>
        <v>#REF!</v>
      </c>
      <c r="L19" s="208" t="e">
        <f>SUM(E19:K19)</f>
        <v>#REF!</v>
      </c>
    </row>
    <row r="20" spans="2:12" hidden="1" outlineLevel="1" x14ac:dyDescent="0.25">
      <c r="B20" s="12" t="s">
        <v>1</v>
      </c>
      <c r="C20" s="216" t="e">
        <f>+VLOOKUP(B20,#REF!,2, FALSE)</f>
        <v>#REF!</v>
      </c>
      <c r="D20" s="216" t="e">
        <f>+VLOOKUP(B20,#REF!,3, FALSE)</f>
        <v>#REF!</v>
      </c>
      <c r="E20" s="207" t="e">
        <f>+#REF!</f>
        <v>#REF!</v>
      </c>
      <c r="F20" s="207" t="e">
        <f>+#REF!</f>
        <v>#REF!</v>
      </c>
      <c r="G20" s="207" t="e">
        <f>+#REF!</f>
        <v>#REF!</v>
      </c>
      <c r="H20" s="207" t="e">
        <f>+#REF!</f>
        <v>#REF!</v>
      </c>
      <c r="I20" s="207" t="e">
        <f>+#REF!</f>
        <v>#REF!</v>
      </c>
      <c r="J20" s="207" t="e">
        <f>+#REF!</f>
        <v>#REF!</v>
      </c>
      <c r="K20" s="207" t="e">
        <f>+#REF!</f>
        <v>#REF!</v>
      </c>
      <c r="L20" s="208" t="e">
        <f t="shared" ref="L20:L28" si="7">SUM(E20:K20)</f>
        <v>#REF!</v>
      </c>
    </row>
    <row r="21" spans="2:12" hidden="1" outlineLevel="1" x14ac:dyDescent="0.25">
      <c r="B21" s="12" t="s">
        <v>2</v>
      </c>
      <c r="C21" s="216" t="e">
        <f>+VLOOKUP(B21,#REF!,2, FALSE)</f>
        <v>#REF!</v>
      </c>
      <c r="D21" s="216" t="e">
        <f>+VLOOKUP(B21,#REF!,3, FALSE)</f>
        <v>#REF!</v>
      </c>
      <c r="E21" s="207" t="e">
        <f>+#REF!</f>
        <v>#REF!</v>
      </c>
      <c r="F21" s="207" t="e">
        <f>+#REF!</f>
        <v>#REF!</v>
      </c>
      <c r="G21" s="207" t="e">
        <f>+#REF!</f>
        <v>#REF!</v>
      </c>
      <c r="H21" s="207" t="e">
        <f>+#REF!</f>
        <v>#REF!</v>
      </c>
      <c r="I21" s="207" t="e">
        <f>+#REF!</f>
        <v>#REF!</v>
      </c>
      <c r="J21" s="207" t="e">
        <f>+#REF!</f>
        <v>#REF!</v>
      </c>
      <c r="K21" s="207" t="e">
        <f>+#REF!</f>
        <v>#REF!</v>
      </c>
      <c r="L21" s="208" t="e">
        <f t="shared" si="7"/>
        <v>#REF!</v>
      </c>
    </row>
    <row r="22" spans="2:12" hidden="1" outlineLevel="1" x14ac:dyDescent="0.25">
      <c r="B22" s="12" t="s">
        <v>3</v>
      </c>
      <c r="C22" s="216" t="e">
        <f>+VLOOKUP(B22,#REF!,2, FALSE)</f>
        <v>#REF!</v>
      </c>
      <c r="D22" s="216" t="e">
        <f>+VLOOKUP(B22,#REF!,3, FALSE)</f>
        <v>#REF!</v>
      </c>
      <c r="E22" s="207" t="e">
        <f>+#REF!</f>
        <v>#REF!</v>
      </c>
      <c r="F22" s="207" t="e">
        <f>+#REF!</f>
        <v>#REF!</v>
      </c>
      <c r="G22" s="207" t="e">
        <f>+#REF!</f>
        <v>#REF!</v>
      </c>
      <c r="H22" s="207" t="e">
        <f>+#REF!</f>
        <v>#REF!</v>
      </c>
      <c r="I22" s="207" t="e">
        <f>+#REF!</f>
        <v>#REF!</v>
      </c>
      <c r="J22" s="207" t="e">
        <f>+#REF!</f>
        <v>#REF!</v>
      </c>
      <c r="K22" s="207" t="e">
        <f>+#REF!</f>
        <v>#REF!</v>
      </c>
      <c r="L22" s="208" t="e">
        <f t="shared" si="7"/>
        <v>#REF!</v>
      </c>
    </row>
    <row r="23" spans="2:12" hidden="1" outlineLevel="1" x14ac:dyDescent="0.25">
      <c r="B23" s="12" t="s">
        <v>4</v>
      </c>
      <c r="C23" s="216" t="e">
        <f>+VLOOKUP(B23,#REF!,2, FALSE)</f>
        <v>#REF!</v>
      </c>
      <c r="D23" s="216" t="e">
        <f>+VLOOKUP(B23,#REF!,3, FALSE)</f>
        <v>#REF!</v>
      </c>
      <c r="E23" s="207" t="e">
        <f>+#REF!</f>
        <v>#REF!</v>
      </c>
      <c r="F23" s="207" t="e">
        <f>+#REF!</f>
        <v>#REF!</v>
      </c>
      <c r="G23" s="207" t="e">
        <f>+#REF!</f>
        <v>#REF!</v>
      </c>
      <c r="H23" s="207" t="e">
        <f>+#REF!</f>
        <v>#REF!</v>
      </c>
      <c r="I23" s="207" t="e">
        <f>+#REF!</f>
        <v>#REF!</v>
      </c>
      <c r="J23" s="207" t="e">
        <f>+#REF!</f>
        <v>#REF!</v>
      </c>
      <c r="K23" s="207" t="e">
        <f>+#REF!</f>
        <v>#REF!</v>
      </c>
      <c r="L23" s="208" t="e">
        <f t="shared" si="7"/>
        <v>#REF!</v>
      </c>
    </row>
    <row r="24" spans="2:12" hidden="1" outlineLevel="1" x14ac:dyDescent="0.25">
      <c r="B24" s="12" t="s">
        <v>5</v>
      </c>
      <c r="C24" s="216" t="e">
        <f>+VLOOKUP(B24,#REF!,2, FALSE)</f>
        <v>#REF!</v>
      </c>
      <c r="D24" s="216" t="e">
        <f>+VLOOKUP(B24,#REF!,3, FALSE)</f>
        <v>#REF!</v>
      </c>
      <c r="E24" s="207" t="e">
        <f>+#REF!</f>
        <v>#REF!</v>
      </c>
      <c r="F24" s="207" t="e">
        <f>+#REF!</f>
        <v>#REF!</v>
      </c>
      <c r="G24" s="207" t="e">
        <f>+#REF!</f>
        <v>#REF!</v>
      </c>
      <c r="H24" s="207" t="e">
        <f>+#REF!</f>
        <v>#REF!</v>
      </c>
      <c r="I24" s="207" t="e">
        <f>+#REF!</f>
        <v>#REF!</v>
      </c>
      <c r="J24" s="207" t="e">
        <f>+#REF!</f>
        <v>#REF!</v>
      </c>
      <c r="K24" s="207" t="e">
        <f>+#REF!</f>
        <v>#REF!</v>
      </c>
      <c r="L24" s="208" t="e">
        <f t="shared" si="7"/>
        <v>#REF!</v>
      </c>
    </row>
    <row r="25" spans="2:12" hidden="1" outlineLevel="1" x14ac:dyDescent="0.25">
      <c r="B25" s="12" t="s">
        <v>6</v>
      </c>
      <c r="C25" s="216" t="e">
        <f>+VLOOKUP(B25,#REF!,2, FALSE)-C36</f>
        <v>#REF!</v>
      </c>
      <c r="D25" s="216" t="e">
        <f>+VLOOKUP(B25,#REF!,3, FALSE)-D36</f>
        <v>#REF!</v>
      </c>
      <c r="E25" s="207" t="e">
        <f>+#REF!-E36</f>
        <v>#REF!</v>
      </c>
      <c r="F25" s="207" t="e">
        <f>+#REF!-F36</f>
        <v>#REF!</v>
      </c>
      <c r="G25" s="207" t="e">
        <f>+#REF!-G36</f>
        <v>#REF!</v>
      </c>
      <c r="H25" s="207" t="e">
        <f>+#REF!-H36</f>
        <v>#REF!</v>
      </c>
      <c r="I25" s="207" t="e">
        <f>+#REF!-I36</f>
        <v>#REF!</v>
      </c>
      <c r="J25" s="207" t="e">
        <f>+#REF!-J36</f>
        <v>#REF!</v>
      </c>
      <c r="K25" s="207" t="e">
        <f>+#REF!-K36</f>
        <v>#REF!</v>
      </c>
      <c r="L25" s="208" t="e">
        <f t="shared" si="7"/>
        <v>#REF!</v>
      </c>
    </row>
    <row r="26" spans="2:12" hidden="1" outlineLevel="1" x14ac:dyDescent="0.25">
      <c r="B26" s="12" t="s">
        <v>7</v>
      </c>
      <c r="C26" s="216" t="e">
        <f>+VLOOKUP(B26,#REF!,2, FALSE)</f>
        <v>#REF!</v>
      </c>
      <c r="D26" s="216" t="e">
        <f>+VLOOKUP(B26,#REF!,3, FALSE)</f>
        <v>#REF!</v>
      </c>
      <c r="E26" s="207" t="e">
        <f>+#REF!</f>
        <v>#REF!</v>
      </c>
      <c r="F26" s="207" t="e">
        <f>+#REF!</f>
        <v>#REF!</v>
      </c>
      <c r="G26" s="207" t="e">
        <f>+#REF!</f>
        <v>#REF!</v>
      </c>
      <c r="H26" s="207" t="e">
        <f>+#REF!</f>
        <v>#REF!</v>
      </c>
      <c r="I26" s="207" t="e">
        <f>+#REF!</f>
        <v>#REF!</v>
      </c>
      <c r="J26" s="207" t="e">
        <f>+#REF!</f>
        <v>#REF!</v>
      </c>
      <c r="K26" s="207" t="e">
        <f>+#REF!</f>
        <v>#REF!</v>
      </c>
      <c r="L26" s="208" t="e">
        <f t="shared" si="7"/>
        <v>#REF!</v>
      </c>
    </row>
    <row r="27" spans="2:12" hidden="1" outlineLevel="1" x14ac:dyDescent="0.25">
      <c r="B27" s="12" t="s">
        <v>8</v>
      </c>
      <c r="C27" s="216" t="e">
        <f>+VLOOKUP(B27,#REF!,2, FALSE)</f>
        <v>#REF!</v>
      </c>
      <c r="D27" s="216" t="e">
        <f>+VLOOKUP(B27,#REF!,3, FALSE)</f>
        <v>#REF!</v>
      </c>
      <c r="E27" s="207" t="e">
        <f>+#REF!</f>
        <v>#REF!</v>
      </c>
      <c r="F27" s="207" t="e">
        <f>+#REF!</f>
        <v>#REF!</v>
      </c>
      <c r="G27" s="207" t="e">
        <f>+#REF!</f>
        <v>#REF!</v>
      </c>
      <c r="H27" s="207" t="e">
        <f>+#REF!</f>
        <v>#REF!</v>
      </c>
      <c r="I27" s="207" t="e">
        <f>+#REF!</f>
        <v>#REF!</v>
      </c>
      <c r="J27" s="207" t="e">
        <f>+#REF!</f>
        <v>#REF!</v>
      </c>
      <c r="K27" s="207" t="e">
        <f>+#REF!</f>
        <v>#REF!</v>
      </c>
      <c r="L27" s="208" t="e">
        <f t="shared" si="7"/>
        <v>#REF!</v>
      </c>
    </row>
    <row r="28" spans="2:12" hidden="1" outlineLevel="1" x14ac:dyDescent="0.25">
      <c r="B28" s="12" t="s">
        <v>9</v>
      </c>
      <c r="C28" s="216" t="e">
        <f>+VLOOKUP(B28,#REF!,2, FALSE)</f>
        <v>#REF!</v>
      </c>
      <c r="D28" s="216" t="e">
        <f>+VLOOKUP(B28,#REF!,3, FALSE)</f>
        <v>#REF!</v>
      </c>
      <c r="E28" s="207" t="e">
        <f>+#REF!</f>
        <v>#REF!</v>
      </c>
      <c r="F28" s="207" t="e">
        <f>+#REF!</f>
        <v>#REF!</v>
      </c>
      <c r="G28" s="207" t="e">
        <f>+#REF!</f>
        <v>#REF!</v>
      </c>
      <c r="H28" s="207" t="e">
        <f>+#REF!</f>
        <v>#REF!</v>
      </c>
      <c r="I28" s="207" t="e">
        <f>+#REF!</f>
        <v>#REF!</v>
      </c>
      <c r="J28" s="207" t="e">
        <f>+#REF!</f>
        <v>#REF!</v>
      </c>
      <c r="K28" s="207" t="e">
        <f>+#REF!</f>
        <v>#REF!</v>
      </c>
      <c r="L28" s="208" t="e">
        <f t="shared" si="7"/>
        <v>#REF!</v>
      </c>
    </row>
    <row r="29" spans="2:12" ht="12" customHeight="1" collapsed="1" x14ac:dyDescent="0.25">
      <c r="B29" s="13"/>
      <c r="C29" s="211"/>
      <c r="D29" s="211"/>
      <c r="E29" s="210"/>
      <c r="F29" s="210"/>
      <c r="G29" s="210"/>
      <c r="H29" s="217"/>
    </row>
    <row r="30" spans="2:12" x14ac:dyDescent="0.25">
      <c r="B30" s="14" t="s">
        <v>33</v>
      </c>
      <c r="C30" s="218" t="e">
        <f t="shared" ref="C30:D30" si="8">+C31+C37+C38</f>
        <v>#REF!</v>
      </c>
      <c r="D30" s="218" t="e">
        <f t="shared" si="8"/>
        <v>#REF!</v>
      </c>
      <c r="E30" s="218" t="e">
        <f>+E31+E37+E38</f>
        <v>#REF!</v>
      </c>
      <c r="F30" s="218" t="e">
        <f t="shared" ref="F30:L30" si="9">+F31+F37+F38</f>
        <v>#REF!</v>
      </c>
      <c r="G30" s="218" t="e">
        <f t="shared" si="9"/>
        <v>#REF!</v>
      </c>
      <c r="H30" s="218" t="e">
        <f t="shared" si="9"/>
        <v>#REF!</v>
      </c>
      <c r="I30" s="218" t="e">
        <f t="shared" si="9"/>
        <v>#REF!</v>
      </c>
      <c r="J30" s="218" t="e">
        <f t="shared" si="9"/>
        <v>#REF!</v>
      </c>
      <c r="K30" s="218" t="e">
        <f t="shared" si="9"/>
        <v>#REF!</v>
      </c>
      <c r="L30" s="218" t="e">
        <f t="shared" si="9"/>
        <v>#REF!</v>
      </c>
    </row>
    <row r="31" spans="2:12" x14ac:dyDescent="0.25">
      <c r="B31" s="15" t="s">
        <v>34</v>
      </c>
      <c r="C31" s="207" t="e">
        <f t="shared" ref="C31:D31" si="10">SUM(C32:C36)</f>
        <v>#REF!</v>
      </c>
      <c r="D31" s="207" t="e">
        <f t="shared" si="10"/>
        <v>#REF!</v>
      </c>
      <c r="E31" s="207" t="e">
        <f>SUM(E32:E36)</f>
        <v>#REF!</v>
      </c>
      <c r="F31" s="207" t="e">
        <f t="shared" ref="F31:K31" si="11">SUM(F32:F36)</f>
        <v>#REF!</v>
      </c>
      <c r="G31" s="207" t="e">
        <f t="shared" si="11"/>
        <v>#REF!</v>
      </c>
      <c r="H31" s="207" t="e">
        <f t="shared" si="11"/>
        <v>#REF!</v>
      </c>
      <c r="I31" s="207" t="e">
        <f t="shared" si="11"/>
        <v>#REF!</v>
      </c>
      <c r="J31" s="207" t="e">
        <f t="shared" si="11"/>
        <v>#REF!</v>
      </c>
      <c r="K31" s="207" t="e">
        <f t="shared" si="11"/>
        <v>#REF!</v>
      </c>
      <c r="L31" s="208" t="e">
        <f>SUM(E31:K31)</f>
        <v>#REF!</v>
      </c>
    </row>
    <row r="32" spans="2:12" hidden="1" outlineLevel="1" x14ac:dyDescent="0.25">
      <c r="B32" s="16" t="s">
        <v>35</v>
      </c>
      <c r="C32" s="211" t="e">
        <f>+#REF!</f>
        <v>#REF!</v>
      </c>
      <c r="D32" s="211" t="e">
        <f>+#REF!</f>
        <v>#REF!</v>
      </c>
      <c r="E32" s="210" t="e">
        <f>+#REF!</f>
        <v>#REF!</v>
      </c>
      <c r="F32" s="210" t="e">
        <f>+#REF!</f>
        <v>#REF!</v>
      </c>
      <c r="G32" s="210" t="e">
        <f>+#REF!</f>
        <v>#REF!</v>
      </c>
      <c r="H32" s="210" t="e">
        <f>+#REF!</f>
        <v>#REF!</v>
      </c>
      <c r="I32" s="210" t="e">
        <f>+#REF!</f>
        <v>#REF!</v>
      </c>
      <c r="J32" s="210" t="e">
        <f>+#REF!</f>
        <v>#REF!</v>
      </c>
      <c r="K32" s="210" t="e">
        <f>+#REF!</f>
        <v>#REF!</v>
      </c>
      <c r="L32" s="210" t="e">
        <f t="shared" ref="L32:L38" si="12">SUM(E32:K32)</f>
        <v>#REF!</v>
      </c>
    </row>
    <row r="33" spans="2:14" hidden="1" outlineLevel="1" x14ac:dyDescent="0.25">
      <c r="B33" s="16" t="s">
        <v>36</v>
      </c>
      <c r="C33" s="211" t="e">
        <f>+#REF!</f>
        <v>#REF!</v>
      </c>
      <c r="D33" s="211" t="e">
        <f>+#REF!</f>
        <v>#REF!</v>
      </c>
      <c r="E33" s="210" t="e">
        <f>+#REF!</f>
        <v>#REF!</v>
      </c>
      <c r="F33" s="210" t="e">
        <f>+#REF!</f>
        <v>#REF!</v>
      </c>
      <c r="G33" s="210" t="e">
        <f>+#REF!</f>
        <v>#REF!</v>
      </c>
      <c r="H33" s="210" t="e">
        <f>+#REF!</f>
        <v>#REF!</v>
      </c>
      <c r="I33" s="210" t="e">
        <f>+#REF!</f>
        <v>#REF!</v>
      </c>
      <c r="J33" s="210" t="e">
        <f>+#REF!</f>
        <v>#REF!</v>
      </c>
      <c r="K33" s="210" t="e">
        <f>+#REF!</f>
        <v>#REF!</v>
      </c>
      <c r="L33" s="210" t="e">
        <f t="shared" si="12"/>
        <v>#REF!</v>
      </c>
    </row>
    <row r="34" spans="2:14" hidden="1" outlineLevel="1" x14ac:dyDescent="0.25">
      <c r="B34" s="16" t="s">
        <v>37</v>
      </c>
      <c r="C34" s="211" t="e">
        <f>+#REF!</f>
        <v>#REF!</v>
      </c>
      <c r="D34" s="211" t="e">
        <f>+#REF!</f>
        <v>#REF!</v>
      </c>
      <c r="E34" s="210" t="e">
        <f>+#REF!</f>
        <v>#REF!</v>
      </c>
      <c r="F34" s="210" t="e">
        <f>+#REF!</f>
        <v>#REF!</v>
      </c>
      <c r="G34" s="210" t="e">
        <f>+#REF!</f>
        <v>#REF!</v>
      </c>
      <c r="H34" s="210" t="e">
        <f>+#REF!</f>
        <v>#REF!</v>
      </c>
      <c r="I34" s="210" t="e">
        <f>+#REF!</f>
        <v>#REF!</v>
      </c>
      <c r="J34" s="210" t="e">
        <f>+#REF!</f>
        <v>#REF!</v>
      </c>
      <c r="K34" s="210" t="e">
        <f>+#REF!</f>
        <v>#REF!</v>
      </c>
      <c r="L34" s="210" t="e">
        <f t="shared" si="12"/>
        <v>#REF!</v>
      </c>
    </row>
    <row r="35" spans="2:14" hidden="1" outlineLevel="1" x14ac:dyDescent="0.25">
      <c r="B35" s="16" t="s">
        <v>38</v>
      </c>
      <c r="C35" s="211" t="e">
        <f>+#REF!</f>
        <v>#REF!</v>
      </c>
      <c r="D35" s="211" t="e">
        <f>+#REF!</f>
        <v>#REF!</v>
      </c>
      <c r="E35" s="210" t="e">
        <f>+#REF!</f>
        <v>#REF!</v>
      </c>
      <c r="F35" s="210" t="e">
        <f>+#REF!</f>
        <v>#REF!</v>
      </c>
      <c r="G35" s="210" t="e">
        <f>+#REF!</f>
        <v>#REF!</v>
      </c>
      <c r="H35" s="210" t="e">
        <f>+#REF!</f>
        <v>#REF!</v>
      </c>
      <c r="I35" s="210" t="e">
        <f>+#REF!</f>
        <v>#REF!</v>
      </c>
      <c r="J35" s="210" t="e">
        <f>+#REF!</f>
        <v>#REF!</v>
      </c>
      <c r="K35" s="210" t="e">
        <f>+#REF!</f>
        <v>#REF!</v>
      </c>
      <c r="L35" s="210" t="e">
        <f t="shared" si="12"/>
        <v>#REF!</v>
      </c>
    </row>
    <row r="36" spans="2:14" hidden="1" outlineLevel="1" x14ac:dyDescent="0.25">
      <c r="B36" s="16" t="s">
        <v>39</v>
      </c>
      <c r="C36" s="211">
        <v>5.6</v>
      </c>
      <c r="D36" s="211">
        <v>5.6</v>
      </c>
      <c r="E36" s="210" t="e">
        <f>+#REF!</f>
        <v>#REF!</v>
      </c>
      <c r="F36" s="210" t="e">
        <f>+#REF!</f>
        <v>#REF!</v>
      </c>
      <c r="G36" s="210" t="e">
        <f>+#REF!</f>
        <v>#REF!</v>
      </c>
      <c r="H36" s="210" t="e">
        <f>+#REF!</f>
        <v>#REF!</v>
      </c>
      <c r="I36" s="210" t="e">
        <f>+#REF!</f>
        <v>#REF!</v>
      </c>
      <c r="J36" s="210" t="e">
        <f>+#REF!</f>
        <v>#REF!</v>
      </c>
      <c r="K36" s="210" t="e">
        <f>+#REF!</f>
        <v>#REF!</v>
      </c>
      <c r="L36" s="210" t="e">
        <f t="shared" si="12"/>
        <v>#REF!</v>
      </c>
    </row>
    <row r="37" spans="2:14" collapsed="1" x14ac:dyDescent="0.25">
      <c r="B37" s="17" t="s">
        <v>40</v>
      </c>
      <c r="C37" s="219" t="e">
        <f>+#REF!</f>
        <v>#REF!</v>
      </c>
      <c r="D37" s="219" t="e">
        <f>+#REF!</f>
        <v>#REF!</v>
      </c>
      <c r="E37" s="207" t="e">
        <f>+#REF!</f>
        <v>#REF!</v>
      </c>
      <c r="F37" s="207" t="e">
        <f>+#REF!</f>
        <v>#REF!</v>
      </c>
      <c r="G37" s="207" t="e">
        <f>+#REF!</f>
        <v>#REF!</v>
      </c>
      <c r="H37" s="207" t="e">
        <f>+#REF!</f>
        <v>#REF!</v>
      </c>
      <c r="I37" s="207" t="e">
        <f>+#REF!</f>
        <v>#REF!</v>
      </c>
      <c r="J37" s="207" t="e">
        <f>+#REF!</f>
        <v>#REF!</v>
      </c>
      <c r="K37" s="207" t="e">
        <f>+#REF!</f>
        <v>#REF!</v>
      </c>
      <c r="L37" s="208" t="e">
        <f t="shared" si="12"/>
        <v>#REF!</v>
      </c>
    </row>
    <row r="38" spans="2:14" x14ac:dyDescent="0.25">
      <c r="B38" s="24" t="s">
        <v>204</v>
      </c>
      <c r="C38" s="229" t="e">
        <f>+#REF!</f>
        <v>#REF!</v>
      </c>
      <c r="D38" s="229" t="e">
        <f>+#REF!</f>
        <v>#REF!</v>
      </c>
      <c r="E38" s="207" t="e">
        <f>+#REF!</f>
        <v>#REF!</v>
      </c>
      <c r="F38" s="207" t="e">
        <f>+#REF!</f>
        <v>#REF!</v>
      </c>
      <c r="G38" s="207" t="e">
        <f>+#REF!</f>
        <v>#REF!</v>
      </c>
      <c r="H38" s="207" t="e">
        <f>+#REF!</f>
        <v>#REF!</v>
      </c>
      <c r="I38" s="207" t="e">
        <f>+#REF!</f>
        <v>#REF!</v>
      </c>
      <c r="J38" s="207" t="e">
        <f>+#REF!</f>
        <v>#REF!</v>
      </c>
      <c r="K38" s="207" t="e">
        <f>+#REF!</f>
        <v>#REF!</v>
      </c>
      <c r="L38" s="208" t="e">
        <f t="shared" si="12"/>
        <v>#REF!</v>
      </c>
    </row>
    <row r="39" spans="2:14" x14ac:dyDescent="0.25">
      <c r="B39" s="18" t="s">
        <v>41</v>
      </c>
      <c r="C39" s="220">
        <v>712.5</v>
      </c>
      <c r="D39" s="221">
        <f>+C39</f>
        <v>712.5</v>
      </c>
      <c r="E39" s="207" t="e">
        <f>+#REF!-#REF!</f>
        <v>#REF!</v>
      </c>
      <c r="F39" s="207" t="e">
        <f>+#REF!-#REF!</f>
        <v>#REF!</v>
      </c>
      <c r="G39" s="207" t="e">
        <f>+#REF!-#REF!</f>
        <v>#REF!</v>
      </c>
      <c r="H39" s="207" t="e">
        <f>+#REF!-#REF!</f>
        <v>#REF!</v>
      </c>
      <c r="I39" s="207" t="e">
        <f>+#REF!-#REF!</f>
        <v>#REF!</v>
      </c>
      <c r="J39" s="207" t="e">
        <f>+#REF!-#REF!</f>
        <v>#REF!</v>
      </c>
      <c r="K39" s="207" t="e">
        <f>+#REF!-#REF!</f>
        <v>#REF!</v>
      </c>
      <c r="L39" s="208" t="e">
        <f>SUM(E39:K39)</f>
        <v>#REF!</v>
      </c>
    </row>
    <row r="40" spans="2:14" x14ac:dyDescent="0.25">
      <c r="B40" s="10" t="s">
        <v>42</v>
      </c>
      <c r="C40" s="206" t="e">
        <f t="shared" ref="C40:D40" si="13">+C41</f>
        <v>#REF!</v>
      </c>
      <c r="D40" s="206" t="e">
        <f t="shared" si="13"/>
        <v>#REF!</v>
      </c>
      <c r="E40" s="206" t="e">
        <f>+E41</f>
        <v>#REF!</v>
      </c>
      <c r="F40" s="206" t="e">
        <f t="shared" ref="F40:K40" si="14">+F41</f>
        <v>#REF!</v>
      </c>
      <c r="G40" s="206" t="e">
        <f t="shared" si="14"/>
        <v>#REF!</v>
      </c>
      <c r="H40" s="206" t="e">
        <f t="shared" si="14"/>
        <v>#REF!</v>
      </c>
      <c r="I40" s="206" t="e">
        <f t="shared" si="14"/>
        <v>#REF!</v>
      </c>
      <c r="J40" s="206" t="e">
        <f t="shared" si="14"/>
        <v>#REF!</v>
      </c>
      <c r="K40" s="206" t="e">
        <f t="shared" si="14"/>
        <v>#REF!</v>
      </c>
      <c r="L40" s="206" t="e">
        <f>+L41</f>
        <v>#REF!</v>
      </c>
    </row>
    <row r="41" spans="2:14" x14ac:dyDescent="0.25">
      <c r="B41" s="11" t="s">
        <v>43</v>
      </c>
      <c r="C41" s="218" t="e">
        <f t="shared" ref="C41:D41" si="15">+SUM(C42:C45)</f>
        <v>#REF!</v>
      </c>
      <c r="D41" s="218" t="e">
        <f t="shared" si="15"/>
        <v>#REF!</v>
      </c>
      <c r="E41" s="218" t="e">
        <f>+SUM(E42:E45)</f>
        <v>#REF!</v>
      </c>
      <c r="F41" s="218" t="e">
        <f t="shared" ref="F41:L41" si="16">+SUM(F42:F45)</f>
        <v>#REF!</v>
      </c>
      <c r="G41" s="218" t="e">
        <f t="shared" si="16"/>
        <v>#REF!</v>
      </c>
      <c r="H41" s="218" t="e">
        <f t="shared" si="16"/>
        <v>#REF!</v>
      </c>
      <c r="I41" s="218" t="e">
        <f t="shared" si="16"/>
        <v>#REF!</v>
      </c>
      <c r="J41" s="218" t="e">
        <f t="shared" si="16"/>
        <v>#REF!</v>
      </c>
      <c r="K41" s="218" t="e">
        <f t="shared" si="16"/>
        <v>#REF!</v>
      </c>
      <c r="L41" s="218" t="e">
        <f t="shared" si="16"/>
        <v>#REF!</v>
      </c>
    </row>
    <row r="42" spans="2:14" hidden="1" outlineLevel="1" x14ac:dyDescent="0.25">
      <c r="B42" s="16" t="s">
        <v>18</v>
      </c>
      <c r="C42" s="222" t="e">
        <f>+VLOOKUP(B42,#REF!,2,FALSE)</f>
        <v>#REF!</v>
      </c>
      <c r="D42" s="222" t="e">
        <f>+VLOOKUP(B42,#REF!,3,FALSE)</f>
        <v>#REF!</v>
      </c>
      <c r="E42" s="207" t="e">
        <f>+#REF!</f>
        <v>#REF!</v>
      </c>
      <c r="F42" s="207" t="e">
        <f>+#REF!</f>
        <v>#REF!</v>
      </c>
      <c r="G42" s="207" t="e">
        <f>+#REF!</f>
        <v>#REF!</v>
      </c>
      <c r="H42" s="207" t="e">
        <f>+#REF!</f>
        <v>#REF!</v>
      </c>
      <c r="I42" s="207" t="e">
        <f>+#REF!</f>
        <v>#REF!</v>
      </c>
      <c r="J42" s="207" t="e">
        <f>+#REF!</f>
        <v>#REF!</v>
      </c>
      <c r="K42" s="207" t="e">
        <f>+#REF!</f>
        <v>#REF!</v>
      </c>
      <c r="L42" s="207" t="e">
        <f>SUM(E42:K42)</f>
        <v>#REF!</v>
      </c>
      <c r="M42" s="7"/>
      <c r="N42" s="1"/>
    </row>
    <row r="43" spans="2:14" hidden="1" outlineLevel="1" x14ac:dyDescent="0.25">
      <c r="B43" s="16" t="s">
        <v>7</v>
      </c>
      <c r="C43" s="222" t="e">
        <f>+VLOOKUP(B43,#REF!,2,FALSE)</f>
        <v>#REF!</v>
      </c>
      <c r="D43" s="222" t="e">
        <f>+VLOOKUP(B43,#REF!,3,FALSE)</f>
        <v>#REF!</v>
      </c>
      <c r="E43" s="207" t="e">
        <f>+#REF!</f>
        <v>#REF!</v>
      </c>
      <c r="F43" s="207" t="e">
        <f>+#REF!</f>
        <v>#REF!</v>
      </c>
      <c r="G43" s="207" t="e">
        <f>+#REF!</f>
        <v>#REF!</v>
      </c>
      <c r="H43" s="207" t="e">
        <f>+#REF!</f>
        <v>#REF!</v>
      </c>
      <c r="I43" s="207" t="e">
        <f>+#REF!</f>
        <v>#REF!</v>
      </c>
      <c r="J43" s="207" t="e">
        <f>+#REF!</f>
        <v>#REF!</v>
      </c>
      <c r="K43" s="207" t="e">
        <f>+#REF!</f>
        <v>#REF!</v>
      </c>
      <c r="L43" s="207" t="e">
        <f t="shared" ref="L43:L45" si="17">SUM(E43:K43)</f>
        <v>#REF!</v>
      </c>
      <c r="N43" s="1"/>
    </row>
    <row r="44" spans="2:14" hidden="1" outlineLevel="1" x14ac:dyDescent="0.25">
      <c r="B44" s="16" t="s">
        <v>8</v>
      </c>
      <c r="C44" s="222" t="e">
        <f>+VLOOKUP(B44,#REF!,2,FALSE)</f>
        <v>#REF!</v>
      </c>
      <c r="D44" s="222" t="e">
        <f>+VLOOKUP(B44,#REF!,3,FALSE)</f>
        <v>#REF!</v>
      </c>
      <c r="E44" s="207" t="e">
        <f>+#REF!</f>
        <v>#REF!</v>
      </c>
      <c r="F44" s="207" t="e">
        <f>+#REF!</f>
        <v>#REF!</v>
      </c>
      <c r="G44" s="207" t="e">
        <f>+#REF!</f>
        <v>#REF!</v>
      </c>
      <c r="H44" s="207" t="e">
        <f>+#REF!</f>
        <v>#REF!</v>
      </c>
      <c r="I44" s="207" t="e">
        <f>+#REF!</f>
        <v>#REF!</v>
      </c>
      <c r="J44" s="207" t="e">
        <f>+#REF!</f>
        <v>#REF!</v>
      </c>
      <c r="K44" s="207" t="e">
        <f>+#REF!</f>
        <v>#REF!</v>
      </c>
      <c r="L44" s="207" t="e">
        <f t="shared" si="17"/>
        <v>#REF!</v>
      </c>
      <c r="N44" s="1"/>
    </row>
    <row r="45" spans="2:14" hidden="1" outlineLevel="1" x14ac:dyDescent="0.25">
      <c r="B45" s="16" t="s">
        <v>9</v>
      </c>
      <c r="C45" s="222" t="e">
        <f>+VLOOKUP(B45,#REF!,2,FALSE)</f>
        <v>#REF!</v>
      </c>
      <c r="D45" s="222" t="e">
        <f>+VLOOKUP(B45,#REF!,3,FALSE)</f>
        <v>#REF!</v>
      </c>
      <c r="E45" s="207" t="e">
        <f>+#REF!</f>
        <v>#REF!</v>
      </c>
      <c r="F45" s="207" t="e">
        <f>+#REF!</f>
        <v>#REF!</v>
      </c>
      <c r="G45" s="207" t="e">
        <f>+#REF!</f>
        <v>#REF!</v>
      </c>
      <c r="H45" s="207" t="e">
        <f>+#REF!</f>
        <v>#REF!</v>
      </c>
      <c r="I45" s="207" t="e">
        <f>+#REF!</f>
        <v>#REF!</v>
      </c>
      <c r="J45" s="207" t="e">
        <f>+#REF!</f>
        <v>#REF!</v>
      </c>
      <c r="K45" s="207" t="e">
        <f>+#REF!</f>
        <v>#REF!</v>
      </c>
      <c r="L45" s="207" t="e">
        <f t="shared" si="17"/>
        <v>#REF!</v>
      </c>
      <c r="N45" s="1"/>
    </row>
    <row r="46" spans="2:14" ht="9" customHeight="1" collapsed="1" thickBot="1" x14ac:dyDescent="0.3">
      <c r="B46" s="19" t="s">
        <v>44</v>
      </c>
      <c r="C46" s="223"/>
      <c r="D46" s="223"/>
      <c r="E46" s="224">
        <v>0</v>
      </c>
      <c r="F46" s="224">
        <v>0</v>
      </c>
      <c r="G46" s="224">
        <v>0</v>
      </c>
      <c r="H46" s="224">
        <v>0</v>
      </c>
      <c r="I46" s="224">
        <v>0</v>
      </c>
      <c r="J46" s="224">
        <v>0</v>
      </c>
      <c r="K46" s="224">
        <v>0</v>
      </c>
      <c r="L46" s="224">
        <v>0</v>
      </c>
    </row>
    <row r="47" spans="2:14" x14ac:dyDescent="0.25">
      <c r="B47" s="20" t="s">
        <v>45</v>
      </c>
      <c r="C47" s="225" t="e">
        <f>+C10-C16</f>
        <v>#REF!</v>
      </c>
      <c r="D47" s="225" t="e">
        <f t="shared" ref="D47" si="18">+D10-D16</f>
        <v>#REF!</v>
      </c>
      <c r="E47" s="225" t="e">
        <f t="shared" ref="E47:L47" si="19">+E10-E16</f>
        <v>#REF!</v>
      </c>
      <c r="F47" s="225" t="e">
        <f t="shared" si="19"/>
        <v>#REF!</v>
      </c>
      <c r="G47" s="225" t="e">
        <f t="shared" si="19"/>
        <v>#REF!</v>
      </c>
      <c r="H47" s="225" t="e">
        <f t="shared" si="19"/>
        <v>#REF!</v>
      </c>
      <c r="I47" s="225" t="e">
        <f t="shared" si="19"/>
        <v>#REF!</v>
      </c>
      <c r="J47" s="225" t="e">
        <f t="shared" si="19"/>
        <v>#REF!</v>
      </c>
      <c r="K47" s="225" t="e">
        <f t="shared" si="19"/>
        <v>#REF!</v>
      </c>
      <c r="L47" s="225" t="e">
        <f t="shared" si="19"/>
        <v>#REF!</v>
      </c>
    </row>
    <row r="48" spans="2:14" x14ac:dyDescent="0.25">
      <c r="B48" s="21" t="s">
        <v>46</v>
      </c>
      <c r="C48" s="226" t="e">
        <f t="shared" ref="C48:D48" si="20">+C10-C15</f>
        <v>#REF!</v>
      </c>
      <c r="D48" s="226" t="e">
        <f t="shared" si="20"/>
        <v>#REF!</v>
      </c>
      <c r="E48" s="226" t="e">
        <f>+E10-E15</f>
        <v>#REF!</v>
      </c>
      <c r="F48" s="226">
        <v>-463.24222936792739</v>
      </c>
      <c r="G48" s="226">
        <v>-259.31046353740112</v>
      </c>
      <c r="H48" s="226">
        <v>-330.32158788005154</v>
      </c>
      <c r="I48" s="226">
        <v>-330.09124601316034</v>
      </c>
      <c r="J48" s="226">
        <v>-362.77394817954655</v>
      </c>
      <c r="K48" s="226">
        <v>-257.87117193165932</v>
      </c>
      <c r="L48" s="226">
        <v>-2468.9891680952933</v>
      </c>
    </row>
    <row r="49" spans="2:12" ht="15.75" thickBot="1" x14ac:dyDescent="0.3">
      <c r="B49" s="22" t="s">
        <v>205</v>
      </c>
      <c r="C49" s="227" t="e">
        <f>+C10-C15-C40</f>
        <v>#REF!</v>
      </c>
      <c r="D49" s="227" t="e">
        <f>+D10-D15-D40</f>
        <v>#REF!</v>
      </c>
      <c r="E49" s="227" t="e">
        <f t="shared" ref="E49:L49" si="21">+E10-E15-E40</f>
        <v>#REF!</v>
      </c>
      <c r="F49" s="227" t="e">
        <f t="shared" si="21"/>
        <v>#REF!</v>
      </c>
      <c r="G49" s="227" t="e">
        <f t="shared" si="21"/>
        <v>#REF!</v>
      </c>
      <c r="H49" s="227" t="e">
        <f t="shared" si="21"/>
        <v>#REF!</v>
      </c>
      <c r="I49" s="227" t="e">
        <f t="shared" si="21"/>
        <v>#REF!</v>
      </c>
      <c r="J49" s="227" t="e">
        <f t="shared" si="21"/>
        <v>#REF!</v>
      </c>
      <c r="K49" s="227" t="e">
        <f t="shared" si="21"/>
        <v>#REF!</v>
      </c>
      <c r="L49" s="227" t="e">
        <f t="shared" si="21"/>
        <v>#REF!</v>
      </c>
    </row>
    <row r="51" spans="2:12" x14ac:dyDescent="0.25">
      <c r="E51" s="228"/>
      <c r="F51" s="228"/>
      <c r="G51" s="228"/>
      <c r="H51" s="228"/>
      <c r="I51" s="228"/>
      <c r="J51" s="228"/>
      <c r="K51" s="228"/>
      <c r="L51" s="228"/>
    </row>
    <row r="52" spans="2:12" ht="21" customHeight="1" x14ac:dyDescent="0.25">
      <c r="B52" s="23"/>
      <c r="E52" s="228"/>
      <c r="F52" s="228"/>
      <c r="G52" s="228"/>
      <c r="H52" s="228"/>
      <c r="I52" s="228"/>
      <c r="J52" s="228"/>
      <c r="K52" s="228"/>
      <c r="L52" s="228"/>
    </row>
    <row r="53" spans="2:12" ht="18.75" customHeight="1" x14ac:dyDescent="0.25">
      <c r="B53" s="23"/>
      <c r="E53" s="228"/>
      <c r="F53" s="228"/>
      <c r="G53" s="228"/>
      <c r="H53" s="228"/>
      <c r="I53" s="228"/>
      <c r="J53" s="228"/>
      <c r="K53" s="228"/>
      <c r="L53" s="228"/>
    </row>
    <row r="54" spans="2:12" x14ac:dyDescent="0.25">
      <c r="B54" s="23"/>
    </row>
  </sheetData>
  <mergeCells count="14">
    <mergeCell ref="K8:K9"/>
    <mergeCell ref="L8:L9"/>
    <mergeCell ref="C8:C9"/>
    <mergeCell ref="D8:D9"/>
    <mergeCell ref="B2:L2"/>
    <mergeCell ref="B3:L3"/>
    <mergeCell ref="B5:L5"/>
    <mergeCell ref="B6:L6"/>
    <mergeCell ref="E8:E9"/>
    <mergeCell ref="F8:F9"/>
    <mergeCell ref="G8:G9"/>
    <mergeCell ref="H8:H9"/>
    <mergeCell ref="I8:I9"/>
    <mergeCell ref="J8:J9"/>
  </mergeCells>
  <pageMargins left="0.7" right="0.7" top="0.75" bottom="0.75" header="0.3" footer="0.3"/>
  <pageSetup scale="51" orientation="portrait" r:id="rId1"/>
  <ignoredErrors>
    <ignoredError sqref="E41:L41" formulaRange="1"/>
    <ignoredError sqref="C11:D11 L15 E11:K11 C25:D25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42"/>
  <sheetViews>
    <sheetView topLeftCell="C38" workbookViewId="0">
      <selection activeCell="AK16" sqref="AK16"/>
    </sheetView>
  </sheetViews>
  <sheetFormatPr baseColWidth="10" defaultColWidth="11.42578125" defaultRowHeight="12.75" x14ac:dyDescent="0.2"/>
  <cols>
    <col min="1" max="1" width="5.5703125" style="26" customWidth="1"/>
    <col min="2" max="2" width="9.140625" style="26" customWidth="1"/>
    <col min="3" max="3" width="1.140625" style="26" customWidth="1"/>
    <col min="4" max="4" width="51.140625" style="26" bestFit="1" customWidth="1"/>
    <col min="5" max="5" width="11.85546875" style="27" hidden="1" customWidth="1"/>
    <col min="6" max="9" width="11.140625" style="27" hidden="1" customWidth="1"/>
    <col min="10" max="11" width="10.140625" style="26" hidden="1" customWidth="1"/>
    <col min="12" max="12" width="9.85546875" style="26" hidden="1" customWidth="1"/>
    <col min="13" max="13" width="11.5703125" style="26" hidden="1" customWidth="1"/>
    <col min="14" max="14" width="10.140625" style="26" hidden="1" customWidth="1"/>
    <col min="15" max="15" width="10.28515625" style="26" hidden="1" customWidth="1"/>
    <col min="16" max="16" width="13.42578125" style="26" hidden="1" customWidth="1"/>
    <col min="17" max="17" width="11.5703125" style="26" hidden="1" customWidth="1"/>
    <col min="18" max="18" width="12" style="26" hidden="1" customWidth="1"/>
    <col min="19" max="19" width="11.5703125" style="26" hidden="1" customWidth="1"/>
    <col min="20" max="20" width="12.85546875" style="26" hidden="1" customWidth="1"/>
    <col min="21" max="22" width="11.5703125" style="26" hidden="1" customWidth="1"/>
    <col min="23" max="23" width="12.85546875" style="26" hidden="1" customWidth="1"/>
    <col min="24" max="24" width="11.5703125" style="26" hidden="1" customWidth="1"/>
    <col min="25" max="25" width="11.85546875" style="26" hidden="1" customWidth="1"/>
    <col min="26" max="28" width="11.5703125" style="26" hidden="1" customWidth="1"/>
    <col min="29" max="29" width="12.85546875" style="26" hidden="1" customWidth="1"/>
    <col min="30" max="31" width="10.7109375" style="26" bestFit="1" customWidth="1"/>
    <col min="32" max="34" width="11.85546875" style="26" bestFit="1" customWidth="1"/>
    <col min="35" max="35" width="11.85546875" style="26" customWidth="1"/>
    <col min="36" max="36" width="17.5703125" style="26" bestFit="1" customWidth="1"/>
    <col min="37" max="38" width="11.85546875" style="26" customWidth="1"/>
    <col min="39" max="44" width="25.85546875" style="26" customWidth="1"/>
    <col min="45" max="45" width="11.85546875" style="26" customWidth="1"/>
    <col min="46" max="46" width="11.5703125" style="28" bestFit="1" customWidth="1"/>
    <col min="47" max="47" width="19.140625" style="26" bestFit="1" customWidth="1"/>
    <col min="48" max="16384" width="11.42578125" style="26"/>
  </cols>
  <sheetData>
    <row r="1" spans="1:57" ht="12.75" hidden="1" customHeight="1" x14ac:dyDescent="0.2">
      <c r="AM1" s="26">
        <v>508892813.77999997</v>
      </c>
    </row>
    <row r="2" spans="1:57" ht="18" x14ac:dyDescent="0.25">
      <c r="A2" s="29"/>
      <c r="B2" s="29"/>
      <c r="C2" s="29"/>
      <c r="D2" s="255" t="s">
        <v>49</v>
      </c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R2" s="255"/>
      <c r="AS2" s="255"/>
      <c r="AT2" s="255"/>
      <c r="AU2" s="255"/>
      <c r="AV2" s="255"/>
      <c r="AW2" s="255"/>
      <c r="AX2" s="255"/>
    </row>
    <row r="3" spans="1:57" ht="15" x14ac:dyDescent="0.2">
      <c r="B3" s="30"/>
      <c r="C3" s="30"/>
      <c r="D3" s="256" t="s">
        <v>50</v>
      </c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  <c r="AP3" s="256"/>
      <c r="AQ3" s="256"/>
      <c r="AR3" s="256"/>
      <c r="AS3" s="256"/>
      <c r="AT3" s="256"/>
      <c r="AU3" s="256"/>
      <c r="AV3" s="256"/>
      <c r="AW3" s="256"/>
      <c r="AX3" s="256"/>
      <c r="BC3" s="26">
        <v>-1.6002594949096201</v>
      </c>
      <c r="BD3" s="26">
        <f>+BC3*M137</f>
        <v>-72.376894589087826</v>
      </c>
      <c r="BE3" s="26">
        <f>+BD3/N137</f>
        <v>-1.5965295088883253</v>
      </c>
    </row>
    <row r="4" spans="1:57" ht="15" x14ac:dyDescent="0.2">
      <c r="A4" s="30"/>
      <c r="B4" s="30"/>
      <c r="C4" s="30"/>
      <c r="D4" s="30" t="s">
        <v>51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1"/>
      <c r="AE4" s="31"/>
      <c r="AF4" s="31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BC4" s="26">
        <v>-2.3593822890194902</v>
      </c>
      <c r="BD4" s="26">
        <f>+BC4*M137</f>
        <v>-106.7106702200001</v>
      </c>
      <c r="BE4" s="26">
        <f>+BD4/N137</f>
        <v>-2.3538828915874319</v>
      </c>
    </row>
    <row r="5" spans="1:57" x14ac:dyDescent="0.2">
      <c r="A5" s="32"/>
      <c r="B5" s="32"/>
      <c r="C5" s="32"/>
      <c r="D5" s="32" t="s">
        <v>52</v>
      </c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</row>
    <row r="6" spans="1:57" x14ac:dyDescent="0.2">
      <c r="A6" s="33"/>
      <c r="B6" s="34"/>
      <c r="C6" s="34"/>
      <c r="D6" s="33" t="s">
        <v>53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1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</row>
    <row r="7" spans="1:57" x14ac:dyDescent="0.2">
      <c r="A7" s="35"/>
      <c r="B7" s="35"/>
      <c r="C7" s="35"/>
      <c r="D7" s="35" t="s">
        <v>54</v>
      </c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197">
        <v>2017</v>
      </c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</row>
    <row r="8" spans="1:57" ht="4.5" customHeight="1" thickBot="1" x14ac:dyDescent="0.25"/>
    <row r="9" spans="1:57" s="39" customFormat="1" x14ac:dyDescent="0.2">
      <c r="A9" s="26"/>
      <c r="B9" s="26"/>
      <c r="C9" s="26"/>
      <c r="D9" s="36"/>
      <c r="E9" s="253" t="s">
        <v>11</v>
      </c>
      <c r="F9" s="253" t="s">
        <v>12</v>
      </c>
      <c r="G9" s="253" t="s">
        <v>13</v>
      </c>
      <c r="H9" s="253" t="s">
        <v>14</v>
      </c>
      <c r="I9" s="253" t="s">
        <v>15</v>
      </c>
      <c r="J9" s="253" t="s">
        <v>16</v>
      </c>
      <c r="K9" s="253" t="s">
        <v>17</v>
      </c>
      <c r="L9" s="253" t="s">
        <v>55</v>
      </c>
      <c r="M9" s="253" t="s">
        <v>56</v>
      </c>
      <c r="N9" s="253" t="s">
        <v>57</v>
      </c>
      <c r="O9" s="253" t="s">
        <v>58</v>
      </c>
      <c r="P9" s="253" t="s">
        <v>59</v>
      </c>
      <c r="Q9" s="253" t="s">
        <v>11</v>
      </c>
      <c r="R9" s="253" t="s">
        <v>12</v>
      </c>
      <c r="S9" s="253" t="s">
        <v>13</v>
      </c>
      <c r="T9" s="253" t="s">
        <v>14</v>
      </c>
      <c r="U9" s="253" t="s">
        <v>15</v>
      </c>
      <c r="V9" s="253" t="s">
        <v>16</v>
      </c>
      <c r="W9" s="253" t="s">
        <v>17</v>
      </c>
      <c r="X9" s="253" t="s">
        <v>55</v>
      </c>
      <c r="Y9" s="253" t="s">
        <v>56</v>
      </c>
      <c r="Z9" s="253" t="s">
        <v>57</v>
      </c>
      <c r="AA9" s="253" t="s">
        <v>58</v>
      </c>
      <c r="AB9" s="253" t="s">
        <v>59</v>
      </c>
      <c r="AC9" s="253" t="s">
        <v>203</v>
      </c>
      <c r="AD9" s="253" t="s">
        <v>11</v>
      </c>
      <c r="AE9" s="253" t="s">
        <v>12</v>
      </c>
      <c r="AF9" s="253" t="s">
        <v>13</v>
      </c>
      <c r="AG9" s="253" t="s">
        <v>14</v>
      </c>
      <c r="AH9" s="253" t="s">
        <v>15</v>
      </c>
      <c r="AI9" s="253" t="s">
        <v>16</v>
      </c>
      <c r="AJ9" s="253" t="s">
        <v>17</v>
      </c>
      <c r="AK9" s="253"/>
      <c r="AL9" s="253"/>
      <c r="AM9" s="253"/>
      <c r="AN9" s="253"/>
      <c r="AO9" s="253"/>
      <c r="AP9" s="253"/>
      <c r="AQ9" s="37"/>
      <c r="AR9" s="37"/>
      <c r="AS9" s="37"/>
      <c r="AT9" s="38"/>
    </row>
    <row r="10" spans="1:57" s="39" customFormat="1" ht="13.5" thickBot="1" x14ac:dyDescent="0.25">
      <c r="A10" s="26"/>
      <c r="B10" s="26"/>
      <c r="C10" s="26"/>
      <c r="D10" s="40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7"/>
      <c r="AF10" s="254"/>
      <c r="AG10" s="257"/>
      <c r="AH10" s="254"/>
      <c r="AI10" s="257"/>
      <c r="AJ10" s="254"/>
      <c r="AK10" s="254"/>
      <c r="AL10" s="254"/>
      <c r="AM10" s="254"/>
      <c r="AN10" s="254"/>
      <c r="AO10" s="254"/>
      <c r="AP10" s="254"/>
      <c r="AQ10" s="37"/>
      <c r="AR10" s="37"/>
      <c r="AS10" s="37"/>
      <c r="AT10" s="38"/>
    </row>
    <row r="11" spans="1:57" x14ac:dyDescent="0.2">
      <c r="D11" s="41" t="s">
        <v>60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3"/>
      <c r="AF11" s="43"/>
      <c r="AG11" s="43"/>
      <c r="AH11" s="43"/>
      <c r="AI11" s="43"/>
      <c r="AJ11" s="43"/>
      <c r="AK11" s="44"/>
      <c r="AL11" s="44"/>
      <c r="AM11" s="44"/>
      <c r="AN11" s="44"/>
      <c r="AO11" s="44"/>
      <c r="AP11" s="44"/>
      <c r="AQ11" s="44"/>
      <c r="AR11" s="44"/>
      <c r="AS11" s="44"/>
      <c r="AT11" s="45"/>
    </row>
    <row r="12" spans="1:57" x14ac:dyDescent="0.2">
      <c r="D12" s="46" t="s">
        <v>61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8"/>
      <c r="AF12" s="48"/>
      <c r="AG12" s="48"/>
      <c r="AH12" s="48"/>
      <c r="AI12" s="48"/>
      <c r="AJ12" s="48"/>
      <c r="AK12" s="44"/>
      <c r="AL12" s="44"/>
      <c r="AM12" s="44"/>
      <c r="AN12" s="44"/>
      <c r="AO12" s="44"/>
      <c r="AP12" s="44"/>
      <c r="AQ12" s="44"/>
      <c r="AR12" s="44"/>
      <c r="AS12" s="44"/>
      <c r="AT12" s="45"/>
    </row>
    <row r="13" spans="1:57" x14ac:dyDescent="0.2">
      <c r="D13" s="49" t="s">
        <v>62</v>
      </c>
      <c r="E13" s="50">
        <v>1743.7240984799998</v>
      </c>
      <c r="F13" s="50">
        <v>1729.5181495000002</v>
      </c>
      <c r="G13" s="50">
        <v>2048.9764840100001</v>
      </c>
      <c r="H13" s="50">
        <v>1784.60408349</v>
      </c>
      <c r="I13" s="50">
        <v>1866.4631768030001</v>
      </c>
      <c r="J13" s="50">
        <v>2040.4451057699998</v>
      </c>
      <c r="K13" s="50">
        <v>2233.2146693300001</v>
      </c>
      <c r="L13" s="50">
        <v>2101.55592505</v>
      </c>
      <c r="M13" s="50">
        <v>2122.4395410100001</v>
      </c>
      <c r="N13" s="50">
        <v>2285.1635640730001</v>
      </c>
      <c r="O13" s="50">
        <v>2106.8074831700001</v>
      </c>
      <c r="P13" s="50">
        <v>2355.5002704200001</v>
      </c>
      <c r="Q13" s="50">
        <v>1629.16947117</v>
      </c>
      <c r="R13" s="50">
        <v>1950.3842955999987</v>
      </c>
      <c r="S13" s="50">
        <v>1979.64705957</v>
      </c>
      <c r="T13" s="50">
        <v>1869.7687080900005</v>
      </c>
      <c r="U13" s="50">
        <v>2025.0692768899999</v>
      </c>
      <c r="V13" s="50">
        <v>2059.9466009899993</v>
      </c>
      <c r="W13" s="50">
        <v>2188.4572389200002</v>
      </c>
      <c r="X13" s="50">
        <v>2374.203840953001</v>
      </c>
      <c r="Y13" s="50">
        <v>2222.9080137300002</v>
      </c>
      <c r="Z13" s="50">
        <v>2240.4999884700001</v>
      </c>
      <c r="AA13" s="50">
        <f>2231.394818859</f>
        <v>2231.3948188590002</v>
      </c>
      <c r="AB13" s="50">
        <v>2345.4353947299996</v>
      </c>
      <c r="AC13" s="50">
        <f t="shared" ref="AC13:AC15" si="0">SUM(Q13:AB13)</f>
        <v>25116.884707972</v>
      </c>
      <c r="AD13" s="51">
        <v>1936.4521119999999</v>
      </c>
      <c r="AE13" s="52">
        <v>1887.3059540299998</v>
      </c>
      <c r="AF13" s="52">
        <v>2171.37147121</v>
      </c>
      <c r="AG13" s="52">
        <v>1842.7017187399997</v>
      </c>
      <c r="AH13" s="52">
        <v>2166.9754051899999</v>
      </c>
      <c r="AI13" s="52">
        <v>2177.8398663700013</v>
      </c>
      <c r="AJ13" s="52">
        <v>2340.6264642900005</v>
      </c>
      <c r="AK13" s="53"/>
      <c r="AL13" s="53"/>
      <c r="AM13" s="53"/>
      <c r="AN13" s="53"/>
      <c r="AO13" s="53"/>
      <c r="AP13" s="53"/>
      <c r="AQ13" s="53"/>
      <c r="AR13" s="53"/>
      <c r="AS13" s="53"/>
      <c r="AT13" s="45"/>
    </row>
    <row r="14" spans="1:57" x14ac:dyDescent="0.2">
      <c r="D14" s="49" t="s">
        <v>63</v>
      </c>
      <c r="E14" s="50">
        <v>0</v>
      </c>
      <c r="F14" s="50">
        <v>402.99255591000002</v>
      </c>
      <c r="G14" s="50">
        <v>365.51924829999996</v>
      </c>
      <c r="H14" s="50">
        <v>0</v>
      </c>
      <c r="I14" s="50">
        <v>180.441946</v>
      </c>
      <c r="J14" s="50">
        <v>189.55074580000002</v>
      </c>
      <c r="K14" s="50">
        <v>192.78911288</v>
      </c>
      <c r="L14" s="50">
        <v>193.14241000000001</v>
      </c>
      <c r="M14" s="50">
        <v>197.90582883000002</v>
      </c>
      <c r="N14" s="50">
        <v>196.26136092000002</v>
      </c>
      <c r="O14" s="50">
        <v>165.04595671999999</v>
      </c>
      <c r="P14" s="50">
        <v>70.60142682</v>
      </c>
      <c r="Q14" s="50">
        <v>0</v>
      </c>
      <c r="R14" s="50">
        <v>185.57415468000002</v>
      </c>
      <c r="S14" s="50">
        <v>188.10616540000001</v>
      </c>
      <c r="T14" s="50">
        <v>185.19900060000001</v>
      </c>
      <c r="U14" s="50">
        <v>187.72892945000001</v>
      </c>
      <c r="V14" s="50">
        <v>171.50761481999999</v>
      </c>
      <c r="W14" s="50">
        <v>192.03416759999999</v>
      </c>
      <c r="X14" s="50">
        <v>190.68806536</v>
      </c>
      <c r="Y14" s="50">
        <v>0</v>
      </c>
      <c r="Z14" s="50">
        <v>196.87793306</v>
      </c>
      <c r="AA14" s="50">
        <v>188.51401969</v>
      </c>
      <c r="AB14" s="50">
        <v>167.07035045000001</v>
      </c>
      <c r="AC14" s="50">
        <f t="shared" si="0"/>
        <v>1853.3004011099997</v>
      </c>
      <c r="AD14" s="51">
        <v>105.02313079000001</v>
      </c>
      <c r="AE14" s="52"/>
      <c r="AF14" s="52">
        <v>196.16200606000001</v>
      </c>
      <c r="AG14" s="52">
        <v>198.80482800000001</v>
      </c>
      <c r="AH14" s="52">
        <v>394.56263379000001</v>
      </c>
      <c r="AI14" s="52">
        <v>204.02833165999999</v>
      </c>
      <c r="AJ14" s="52">
        <v>0</v>
      </c>
      <c r="AK14" s="53"/>
      <c r="AL14" s="53"/>
      <c r="AM14" s="53"/>
      <c r="AN14" s="53"/>
      <c r="AO14" s="53"/>
      <c r="AP14" s="53"/>
      <c r="AQ14" s="53"/>
      <c r="AR14" s="53"/>
      <c r="AS14" s="53"/>
      <c r="AT14" s="45"/>
    </row>
    <row r="15" spans="1:57" x14ac:dyDescent="0.2">
      <c r="D15" s="54" t="s">
        <v>64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-0.47462156999999999</v>
      </c>
      <c r="T15" s="50">
        <v>0</v>
      </c>
      <c r="U15" s="50">
        <v>0</v>
      </c>
      <c r="V15" s="50"/>
      <c r="W15" s="50">
        <v>0</v>
      </c>
      <c r="X15" s="50">
        <v>0</v>
      </c>
      <c r="Y15" s="50">
        <v>2.2267709999999996E-2</v>
      </c>
      <c r="Z15" s="50">
        <v>2.9304E-4</v>
      </c>
      <c r="AA15" s="50"/>
      <c r="AB15" s="50">
        <v>0</v>
      </c>
      <c r="AC15" s="50">
        <f t="shared" si="0"/>
        <v>-0.45206081999999997</v>
      </c>
      <c r="AD15" s="51">
        <v>0</v>
      </c>
      <c r="AE15" s="52"/>
      <c r="AF15" s="52"/>
      <c r="AG15" s="52">
        <v>0</v>
      </c>
      <c r="AH15" s="52"/>
      <c r="AI15" s="52"/>
      <c r="AJ15" s="52">
        <v>6.2637299999999995E-3</v>
      </c>
      <c r="AK15" s="53"/>
      <c r="AL15" s="53"/>
      <c r="AM15" s="53"/>
      <c r="AN15" s="53"/>
      <c r="AO15" s="53"/>
      <c r="AP15" s="53"/>
      <c r="AQ15" s="53"/>
      <c r="AR15" s="53"/>
      <c r="AS15" s="53"/>
      <c r="AT15" s="45"/>
    </row>
    <row r="16" spans="1:57" x14ac:dyDescent="0.2">
      <c r="D16" s="55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2"/>
      <c r="AF16" s="52"/>
      <c r="AG16" s="52"/>
      <c r="AH16" s="52"/>
      <c r="AI16" s="52"/>
      <c r="AJ16" s="52"/>
      <c r="AK16" s="53"/>
      <c r="AL16" s="53"/>
      <c r="AM16" s="53"/>
      <c r="AN16" s="53"/>
      <c r="AO16" s="53"/>
      <c r="AP16" s="53"/>
      <c r="AQ16" s="53"/>
      <c r="AR16" s="53"/>
      <c r="AS16" s="53"/>
      <c r="AT16" s="45"/>
    </row>
    <row r="17" spans="4:47" x14ac:dyDescent="0.2">
      <c r="D17" s="56" t="s">
        <v>65</v>
      </c>
      <c r="E17" s="57">
        <f t="shared" ref="E17:AC17" si="1">SUM(E13:E15)</f>
        <v>1743.7240984799998</v>
      </c>
      <c r="F17" s="57">
        <f t="shared" si="1"/>
        <v>2132.5107054100004</v>
      </c>
      <c r="G17" s="57">
        <f t="shared" si="1"/>
        <v>2414.4957323100002</v>
      </c>
      <c r="H17" s="57">
        <f t="shared" si="1"/>
        <v>1784.60408349</v>
      </c>
      <c r="I17" s="57">
        <f t="shared" si="1"/>
        <v>2046.905122803</v>
      </c>
      <c r="J17" s="57">
        <f t="shared" si="1"/>
        <v>2229.99585157</v>
      </c>
      <c r="K17" s="57">
        <f t="shared" si="1"/>
        <v>2426.0037822100003</v>
      </c>
      <c r="L17" s="57">
        <f t="shared" si="1"/>
        <v>2294.69833505</v>
      </c>
      <c r="M17" s="57">
        <f t="shared" si="1"/>
        <v>2320.3453698399999</v>
      </c>
      <c r="N17" s="57">
        <f t="shared" si="1"/>
        <v>2481.4249249929999</v>
      </c>
      <c r="O17" s="57">
        <f t="shared" si="1"/>
        <v>2271.8534398900001</v>
      </c>
      <c r="P17" s="57">
        <f t="shared" si="1"/>
        <v>2426.1016972400002</v>
      </c>
      <c r="Q17" s="57">
        <f t="shared" si="1"/>
        <v>1629.16947117</v>
      </c>
      <c r="R17" s="57">
        <f t="shared" si="1"/>
        <v>2135.9584502799989</v>
      </c>
      <c r="S17" s="57">
        <f t="shared" si="1"/>
        <v>2167.2786033999996</v>
      </c>
      <c r="T17" s="57">
        <f t="shared" si="1"/>
        <v>2054.9677086900006</v>
      </c>
      <c r="U17" s="57">
        <f t="shared" si="1"/>
        <v>2212.79820634</v>
      </c>
      <c r="V17" s="57">
        <f t="shared" si="1"/>
        <v>2231.4542158099994</v>
      </c>
      <c r="W17" s="57">
        <f t="shared" si="1"/>
        <v>2380.4914065200001</v>
      </c>
      <c r="X17" s="57">
        <f t="shared" si="1"/>
        <v>2564.8919063130011</v>
      </c>
      <c r="Y17" s="57">
        <f t="shared" si="1"/>
        <v>2222.9302814400003</v>
      </c>
      <c r="Z17" s="57">
        <f t="shared" si="1"/>
        <v>2437.3782145700002</v>
      </c>
      <c r="AA17" s="57">
        <f t="shared" si="1"/>
        <v>2419.9088385490004</v>
      </c>
      <c r="AB17" s="57">
        <f t="shared" si="1"/>
        <v>2512.5057451799998</v>
      </c>
      <c r="AC17" s="57">
        <f t="shared" si="1"/>
        <v>26969.733048261998</v>
      </c>
      <c r="AD17" s="58">
        <f t="shared" ref="AD17:AJ17" si="2">SUM(AD13:AD16)</f>
        <v>2041.47524279</v>
      </c>
      <c r="AE17" s="58">
        <f t="shared" si="2"/>
        <v>1887.3059540299998</v>
      </c>
      <c r="AF17" s="58">
        <f t="shared" si="2"/>
        <v>2367.5334772699998</v>
      </c>
      <c r="AG17" s="58">
        <f t="shared" si="2"/>
        <v>2041.5065467399997</v>
      </c>
      <c r="AH17" s="58">
        <f t="shared" si="2"/>
        <v>2561.5380389799998</v>
      </c>
      <c r="AI17" s="58">
        <f t="shared" si="2"/>
        <v>2381.8681980300012</v>
      </c>
      <c r="AJ17" s="58">
        <f t="shared" si="2"/>
        <v>2340.6327280200003</v>
      </c>
      <c r="AK17" s="53"/>
      <c r="AL17" s="59"/>
      <c r="AM17" s="59"/>
      <c r="AN17" s="59"/>
      <c r="AO17" s="59"/>
      <c r="AP17" s="59"/>
      <c r="AQ17" s="59"/>
      <c r="AR17" s="59"/>
      <c r="AS17" s="59"/>
      <c r="AT17" s="60">
        <f>+Q17/Q137</f>
        <v>35.715338924354491</v>
      </c>
    </row>
    <row r="18" spans="4:47" x14ac:dyDescent="0.2">
      <c r="D18" s="61" t="s">
        <v>66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2"/>
      <c r="AF18" s="52"/>
      <c r="AG18" s="52"/>
      <c r="AH18" s="52"/>
      <c r="AI18" s="52"/>
      <c r="AJ18" s="52"/>
      <c r="AK18" s="53"/>
      <c r="AL18" s="53"/>
      <c r="AM18" s="53"/>
      <c r="AN18" s="53"/>
      <c r="AO18" s="53"/>
      <c r="AP18" s="53"/>
      <c r="AQ18" s="53"/>
      <c r="AR18" s="53"/>
      <c r="AS18" s="53"/>
      <c r="AT18" s="45"/>
    </row>
    <row r="19" spans="4:47" x14ac:dyDescent="0.2">
      <c r="D19" s="62" t="s">
        <v>67</v>
      </c>
      <c r="E19" s="50">
        <v>199.10364780207783</v>
      </c>
      <c r="F19" s="50">
        <v>67.980326892772496</v>
      </c>
      <c r="G19" s="50">
        <v>-41.24220869639619</v>
      </c>
      <c r="H19" s="50">
        <v>39.726895116321515</v>
      </c>
      <c r="I19" s="50">
        <v>39.7274806</v>
      </c>
      <c r="J19" s="50">
        <v>45.679440900000003</v>
      </c>
      <c r="K19" s="50">
        <f>74159726.21/1000000</f>
        <v>74.159726209999988</v>
      </c>
      <c r="L19" s="50">
        <v>67.022067649999997</v>
      </c>
      <c r="M19" s="50">
        <v>-13.910586260000001</v>
      </c>
      <c r="N19" s="50">
        <v>-122.88988286999999</v>
      </c>
      <c r="O19" s="50">
        <v>-138.56569171999999</v>
      </c>
      <c r="P19" s="50"/>
      <c r="Q19" s="50">
        <v>-128.29573167000001</v>
      </c>
      <c r="R19" s="50">
        <v>-243.14212419</v>
      </c>
      <c r="S19" s="50">
        <v>-275.47211463999997</v>
      </c>
      <c r="T19" s="50"/>
      <c r="U19" s="50">
        <v>-227.83457941</v>
      </c>
      <c r="V19" s="50"/>
      <c r="W19" s="50"/>
      <c r="X19" s="50">
        <v>-113.97282795</v>
      </c>
      <c r="Y19" s="50"/>
      <c r="Z19" s="50"/>
      <c r="AA19" s="50">
        <v>-58.51440229</v>
      </c>
      <c r="AB19" s="50">
        <v>-18.11856058</v>
      </c>
      <c r="AC19" s="50">
        <f t="shared" ref="AC19:AC26" si="3">SUM(Q19:AB19)</f>
        <v>-1065.3503407299997</v>
      </c>
      <c r="AD19" s="50"/>
      <c r="AE19" s="52">
        <v>120.1315366</v>
      </c>
      <c r="AF19" s="52">
        <v>147.3639</v>
      </c>
      <c r="AG19" s="52"/>
      <c r="AH19" s="52"/>
      <c r="AI19" s="63">
        <v>117.73288247000001</v>
      </c>
      <c r="AJ19" s="63"/>
      <c r="AK19" s="53"/>
      <c r="AL19" s="53"/>
      <c r="AM19" s="53"/>
      <c r="AN19" s="53"/>
      <c r="AO19" s="53"/>
      <c r="AP19" s="53"/>
      <c r="AQ19" s="53"/>
      <c r="AR19" s="53"/>
      <c r="AS19" s="53"/>
      <c r="AT19" s="45"/>
    </row>
    <row r="20" spans="4:47" x14ac:dyDescent="0.2">
      <c r="D20" s="64" t="s">
        <v>68</v>
      </c>
      <c r="E20" s="50"/>
      <c r="F20" s="50"/>
      <c r="G20" s="50"/>
      <c r="H20" s="50"/>
      <c r="I20" s="50"/>
      <c r="J20" s="50">
        <v>10.445696099999999</v>
      </c>
      <c r="K20" s="50">
        <f>11772145.14/1000000</f>
        <v>11.772145140000001</v>
      </c>
      <c r="L20" s="50">
        <v>10.61718917</v>
      </c>
      <c r="M20" s="50">
        <v>10.608883000000001</v>
      </c>
      <c r="N20" s="50">
        <v>10.563505019999999</v>
      </c>
      <c r="O20" s="50">
        <v>10.32171838</v>
      </c>
      <c r="P20" s="50"/>
      <c r="Q20" s="50">
        <v>0</v>
      </c>
      <c r="R20" s="50">
        <v>9.9157124799999998</v>
      </c>
      <c r="S20" s="50">
        <v>10.401573880000001</v>
      </c>
      <c r="T20" s="50"/>
      <c r="U20" s="50">
        <v>10.911967560000001</v>
      </c>
      <c r="V20" s="50"/>
      <c r="W20" s="50"/>
      <c r="X20" s="50">
        <v>10.881219659999999</v>
      </c>
      <c r="Y20" s="50"/>
      <c r="Z20" s="50"/>
      <c r="AA20" s="50">
        <v>11.124462940000001</v>
      </c>
      <c r="AB20" s="50">
        <v>12.1341527</v>
      </c>
      <c r="AC20" s="50">
        <f t="shared" si="3"/>
        <v>65.369089220000006</v>
      </c>
      <c r="AD20" s="50"/>
      <c r="AE20" s="52">
        <v>10.8220145</v>
      </c>
      <c r="AF20" s="52">
        <v>11.10089977</v>
      </c>
      <c r="AG20" s="52"/>
      <c r="AH20" s="52"/>
      <c r="AI20" s="63">
        <v>10.579131520000001</v>
      </c>
      <c r="AJ20" s="63"/>
      <c r="AK20" s="53"/>
      <c r="AL20" s="53"/>
      <c r="AM20" s="53"/>
      <c r="AN20" s="53"/>
      <c r="AO20" s="53"/>
      <c r="AP20" s="53"/>
      <c r="AQ20" s="53"/>
      <c r="AR20" s="53"/>
      <c r="AS20" s="53"/>
      <c r="AT20" s="45"/>
    </row>
    <row r="21" spans="4:47" x14ac:dyDescent="0.2">
      <c r="D21" s="64" t="s">
        <v>69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>
        <v>92.142121459999998</v>
      </c>
      <c r="AB21" s="50">
        <v>0</v>
      </c>
      <c r="AC21" s="50">
        <f t="shared" si="3"/>
        <v>92.142121459999998</v>
      </c>
      <c r="AD21" s="50"/>
      <c r="AE21" s="52">
        <v>0</v>
      </c>
      <c r="AF21" s="52">
        <v>0</v>
      </c>
      <c r="AG21" s="52"/>
      <c r="AH21" s="52"/>
      <c r="AI21" s="63"/>
      <c r="AJ21" s="63"/>
      <c r="AK21" s="53"/>
      <c r="AL21" s="53"/>
      <c r="AM21" s="53"/>
      <c r="AN21" s="53"/>
      <c r="AO21" s="53"/>
      <c r="AP21" s="53"/>
      <c r="AQ21" s="53"/>
      <c r="AR21" s="53"/>
      <c r="AS21" s="53"/>
      <c r="AT21" s="45"/>
    </row>
    <row r="22" spans="4:47" x14ac:dyDescent="0.2">
      <c r="D22" s="64" t="s">
        <v>70</v>
      </c>
      <c r="E22" s="50"/>
      <c r="F22" s="50"/>
      <c r="G22" s="50"/>
      <c r="H22" s="50"/>
      <c r="I22" s="50"/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/>
      <c r="Q22" s="50">
        <v>8.4809595699999996</v>
      </c>
      <c r="R22" s="50">
        <v>0</v>
      </c>
      <c r="S22" s="50">
        <v>0</v>
      </c>
      <c r="T22" s="50"/>
      <c r="U22" s="50">
        <v>0</v>
      </c>
      <c r="V22" s="50"/>
      <c r="W22" s="50"/>
      <c r="X22" s="50">
        <v>0</v>
      </c>
      <c r="Y22" s="50"/>
      <c r="Z22" s="50">
        <v>0</v>
      </c>
      <c r="AA22" s="50">
        <v>0</v>
      </c>
      <c r="AB22" s="50">
        <v>0</v>
      </c>
      <c r="AC22" s="50">
        <f t="shared" si="3"/>
        <v>8.4809595699999996</v>
      </c>
      <c r="AD22" s="50"/>
      <c r="AE22" s="52">
        <v>0</v>
      </c>
      <c r="AF22" s="52">
        <v>0</v>
      </c>
      <c r="AG22" s="52"/>
      <c r="AH22" s="52"/>
      <c r="AI22" s="63"/>
      <c r="AJ22" s="63"/>
      <c r="AK22" s="53"/>
      <c r="AL22" s="53"/>
      <c r="AM22" s="53"/>
      <c r="AN22" s="53"/>
      <c r="AO22" s="53"/>
      <c r="AP22" s="53"/>
      <c r="AQ22" s="53"/>
      <c r="AR22" s="53"/>
      <c r="AS22" s="53"/>
      <c r="AT22" s="45"/>
    </row>
    <row r="23" spans="4:47" x14ac:dyDescent="0.2">
      <c r="D23" s="64" t="s">
        <v>71</v>
      </c>
      <c r="E23" s="50"/>
      <c r="F23" s="50"/>
      <c r="G23" s="50"/>
      <c r="H23" s="50"/>
      <c r="I23" s="50"/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/>
      <c r="Q23" s="50">
        <v>0</v>
      </c>
      <c r="R23" s="50">
        <v>0</v>
      </c>
      <c r="S23" s="50">
        <v>0</v>
      </c>
      <c r="T23" s="50"/>
      <c r="U23" s="50">
        <v>0</v>
      </c>
      <c r="V23" s="50"/>
      <c r="W23" s="50"/>
      <c r="X23" s="50">
        <v>0</v>
      </c>
      <c r="Y23" s="50"/>
      <c r="Z23" s="50">
        <v>0</v>
      </c>
      <c r="AA23" s="50">
        <v>0</v>
      </c>
      <c r="AB23" s="50">
        <v>0</v>
      </c>
      <c r="AC23" s="50">
        <f t="shared" si="3"/>
        <v>0</v>
      </c>
      <c r="AD23" s="50"/>
      <c r="AE23" s="52">
        <v>0</v>
      </c>
      <c r="AF23" s="52">
        <v>0</v>
      </c>
      <c r="AG23" s="52"/>
      <c r="AH23" s="52"/>
      <c r="AI23" s="63"/>
      <c r="AJ23" s="63"/>
      <c r="AK23" s="53"/>
      <c r="AL23" s="53"/>
      <c r="AM23" s="53"/>
      <c r="AN23" s="53"/>
      <c r="AO23" s="53"/>
      <c r="AP23" s="53"/>
      <c r="AQ23" s="53"/>
      <c r="AR23" s="53"/>
      <c r="AS23" s="53"/>
      <c r="AT23" s="45"/>
    </row>
    <row r="24" spans="4:47" x14ac:dyDescent="0.2">
      <c r="D24" s="64" t="s">
        <v>72</v>
      </c>
      <c r="E24" s="50"/>
      <c r="F24" s="50"/>
      <c r="G24" s="50"/>
      <c r="H24" s="50"/>
      <c r="I24" s="50"/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/>
      <c r="Q24" s="50">
        <v>0</v>
      </c>
      <c r="R24" s="50">
        <v>0</v>
      </c>
      <c r="S24" s="50">
        <v>0</v>
      </c>
      <c r="T24" s="50"/>
      <c r="U24" s="50">
        <v>0</v>
      </c>
      <c r="V24" s="50"/>
      <c r="W24" s="50"/>
      <c r="X24" s="50">
        <v>0</v>
      </c>
      <c r="Y24" s="50"/>
      <c r="Z24" s="50">
        <v>0</v>
      </c>
      <c r="AA24" s="50">
        <v>0</v>
      </c>
      <c r="AB24" s="50">
        <v>0</v>
      </c>
      <c r="AC24" s="50">
        <f t="shared" si="3"/>
        <v>0</v>
      </c>
      <c r="AD24" s="50"/>
      <c r="AE24" s="52">
        <v>0</v>
      </c>
      <c r="AF24" s="52">
        <v>0</v>
      </c>
      <c r="AG24" s="52"/>
      <c r="AH24" s="52"/>
      <c r="AI24" s="63"/>
      <c r="AJ24" s="63"/>
      <c r="AK24" s="53"/>
      <c r="AL24" s="53"/>
      <c r="AM24" s="53"/>
      <c r="AN24" s="53"/>
      <c r="AO24" s="53"/>
      <c r="AP24" s="53"/>
      <c r="AQ24" s="53"/>
      <c r="AR24" s="53"/>
      <c r="AS24" s="53"/>
      <c r="AT24" s="45"/>
    </row>
    <row r="25" spans="4:47" x14ac:dyDescent="0.2">
      <c r="D25" s="64" t="s">
        <v>73</v>
      </c>
      <c r="E25" s="50"/>
      <c r="F25" s="50"/>
      <c r="G25" s="50"/>
      <c r="H25" s="50"/>
      <c r="I25" s="50"/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/>
      <c r="Q25" s="50">
        <v>0</v>
      </c>
      <c r="R25" s="50">
        <v>0</v>
      </c>
      <c r="S25" s="50">
        <v>0</v>
      </c>
      <c r="T25" s="50"/>
      <c r="U25" s="50">
        <v>0</v>
      </c>
      <c r="V25" s="50"/>
      <c r="W25" s="50"/>
      <c r="X25" s="50">
        <v>0</v>
      </c>
      <c r="Y25" s="50"/>
      <c r="Z25" s="50">
        <v>0</v>
      </c>
      <c r="AA25" s="50">
        <v>0</v>
      </c>
      <c r="AB25" s="50">
        <v>0</v>
      </c>
      <c r="AC25" s="50">
        <f t="shared" si="3"/>
        <v>0</v>
      </c>
      <c r="AD25" s="50"/>
      <c r="AE25" s="65"/>
      <c r="AF25" s="65"/>
      <c r="AG25" s="65"/>
      <c r="AH25" s="65"/>
      <c r="AI25" s="66">
        <v>43.503017470000003</v>
      </c>
      <c r="AJ25" s="66"/>
      <c r="AK25" s="53"/>
      <c r="AL25" s="53"/>
      <c r="AM25" s="53"/>
      <c r="AN25" s="53"/>
      <c r="AO25" s="53"/>
      <c r="AP25" s="53"/>
      <c r="AQ25" s="53"/>
      <c r="AR25" s="53"/>
      <c r="AS25" s="53"/>
      <c r="AT25" s="45"/>
    </row>
    <row r="26" spans="4:47" ht="13.5" thickBot="1" x14ac:dyDescent="0.25">
      <c r="D26" s="67" t="s">
        <v>74</v>
      </c>
      <c r="E26" s="50">
        <v>50.885514520000001</v>
      </c>
      <c r="F26" s="50">
        <v>43.158991659999998</v>
      </c>
      <c r="G26" s="50">
        <v>37.15997745</v>
      </c>
      <c r="H26" s="50">
        <v>41.427985370000002</v>
      </c>
      <c r="I26" s="50">
        <v>41.427985369999995</v>
      </c>
      <c r="J26" s="68">
        <v>41.75162152</v>
      </c>
      <c r="K26" s="68">
        <f>43250728.26/1000000</f>
        <v>43.250728259999995</v>
      </c>
      <c r="L26" s="68"/>
      <c r="M26" s="68">
        <v>39.820997740000003</v>
      </c>
      <c r="N26" s="68">
        <v>35.319358549999997</v>
      </c>
      <c r="O26" s="68">
        <v>34.577951880000001</v>
      </c>
      <c r="P26" s="68"/>
      <c r="Q26" s="68">
        <v>32.19763451</v>
      </c>
      <c r="R26" s="68">
        <v>27.082633770000001</v>
      </c>
      <c r="S26" s="68">
        <v>24.673404690000002</v>
      </c>
      <c r="T26" s="68"/>
      <c r="U26" s="68">
        <v>27.506565340000002</v>
      </c>
      <c r="V26" s="68"/>
      <c r="W26" s="68"/>
      <c r="X26" s="68">
        <v>33.046603310000002</v>
      </c>
      <c r="Y26" s="68"/>
      <c r="Z26" s="68"/>
      <c r="AA26" s="68">
        <v>34.636026489999999</v>
      </c>
      <c r="AB26" s="50">
        <v>37.614173100000002</v>
      </c>
      <c r="AC26" s="50">
        <f t="shared" si="3"/>
        <v>216.75704121000001</v>
      </c>
      <c r="AD26" s="50"/>
      <c r="AE26" s="52">
        <v>43.890970289999998</v>
      </c>
      <c r="AF26" s="52">
        <v>48.734782449999997</v>
      </c>
      <c r="AG26" s="52"/>
      <c r="AH26" s="52"/>
      <c r="AI26" s="52"/>
      <c r="AJ26" s="52"/>
      <c r="AK26" s="53"/>
      <c r="AL26" s="28"/>
      <c r="AM26" s="28"/>
      <c r="AN26" s="28"/>
      <c r="AO26" s="28"/>
      <c r="AP26" s="28"/>
      <c r="AQ26" s="28"/>
      <c r="AR26" s="28"/>
      <c r="AS26" s="28"/>
    </row>
    <row r="27" spans="4:47" x14ac:dyDescent="0.2">
      <c r="D27" s="56" t="s">
        <v>75</v>
      </c>
      <c r="E27" s="69">
        <f t="shared" ref="E27:R27" si="4">SUM(E19:E26)</f>
        <v>249.98916232207785</v>
      </c>
      <c r="F27" s="69">
        <f t="shared" si="4"/>
        <v>111.13931855277249</v>
      </c>
      <c r="G27" s="69">
        <f t="shared" si="4"/>
        <v>-4.0822312463961907</v>
      </c>
      <c r="H27" s="69">
        <f t="shared" si="4"/>
        <v>81.154880486321517</v>
      </c>
      <c r="I27" s="70">
        <f t="shared" si="4"/>
        <v>81.155465969999995</v>
      </c>
      <c r="J27" s="70">
        <f t="shared" si="4"/>
        <v>97.87675852000001</v>
      </c>
      <c r="K27" s="70">
        <f t="shared" si="4"/>
        <v>129.18259960999998</v>
      </c>
      <c r="L27" s="70">
        <f t="shared" si="4"/>
        <v>77.63925682</v>
      </c>
      <c r="M27" s="70">
        <f t="shared" si="4"/>
        <v>36.519294479999999</v>
      </c>
      <c r="N27" s="70">
        <f t="shared" si="4"/>
        <v>-77.007019299999996</v>
      </c>
      <c r="O27" s="70">
        <f t="shared" si="4"/>
        <v>-93.666021459999996</v>
      </c>
      <c r="P27" s="70">
        <f t="shared" si="4"/>
        <v>0</v>
      </c>
      <c r="Q27" s="70">
        <f t="shared" si="4"/>
        <v>-87.617137590000013</v>
      </c>
      <c r="R27" s="70">
        <f t="shared" si="4"/>
        <v>-206.14377794000001</v>
      </c>
      <c r="S27" s="70">
        <f t="shared" ref="S27:AJ27" si="5">SUM(S19:S26)</f>
        <v>-240.39713606999996</v>
      </c>
      <c r="T27" s="70">
        <f t="shared" si="5"/>
        <v>0</v>
      </c>
      <c r="U27" s="70">
        <f t="shared" si="5"/>
        <v>-189.41604651</v>
      </c>
      <c r="V27" s="70">
        <f t="shared" si="5"/>
        <v>0</v>
      </c>
      <c r="W27" s="70">
        <f t="shared" si="5"/>
        <v>0</v>
      </c>
      <c r="X27" s="70">
        <f t="shared" si="5"/>
        <v>-70.045004979999987</v>
      </c>
      <c r="Y27" s="70">
        <f t="shared" si="5"/>
        <v>0</v>
      </c>
      <c r="Z27" s="70">
        <f t="shared" si="5"/>
        <v>0</v>
      </c>
      <c r="AA27" s="70">
        <f t="shared" si="5"/>
        <v>79.388208599999999</v>
      </c>
      <c r="AB27" s="70">
        <f t="shared" si="5"/>
        <v>31.629765220000003</v>
      </c>
      <c r="AC27" s="70">
        <f t="shared" si="5"/>
        <v>-682.60112926999977</v>
      </c>
      <c r="AD27" s="70">
        <f t="shared" si="5"/>
        <v>0</v>
      </c>
      <c r="AE27" s="70">
        <f t="shared" si="5"/>
        <v>174.84452139000001</v>
      </c>
      <c r="AF27" s="70">
        <f t="shared" si="5"/>
        <v>207.19958222000002</v>
      </c>
      <c r="AG27" s="70">
        <f t="shared" si="5"/>
        <v>0</v>
      </c>
      <c r="AH27" s="70">
        <f t="shared" si="5"/>
        <v>0</v>
      </c>
      <c r="AI27" s="70">
        <f t="shared" si="5"/>
        <v>171.81503146</v>
      </c>
      <c r="AJ27" s="70">
        <f t="shared" si="5"/>
        <v>0</v>
      </c>
      <c r="AK27" s="53"/>
      <c r="AL27" s="59"/>
      <c r="AM27" s="59"/>
      <c r="AN27" s="59"/>
      <c r="AO27" s="59"/>
      <c r="AP27" s="59"/>
      <c r="AQ27" s="59"/>
      <c r="AR27" s="59"/>
      <c r="AS27" s="59"/>
      <c r="AT27" s="60"/>
    </row>
    <row r="28" spans="4:47" x14ac:dyDescent="0.2">
      <c r="D28" s="71" t="s">
        <v>76</v>
      </c>
      <c r="E28" s="72">
        <f t="shared" ref="E28:AB28" si="6">+E17+E27</f>
        <v>1993.7132608020777</v>
      </c>
      <c r="F28" s="72">
        <f t="shared" si="6"/>
        <v>2243.650023962773</v>
      </c>
      <c r="G28" s="72">
        <f t="shared" si="6"/>
        <v>2410.4135010636041</v>
      </c>
      <c r="H28" s="72">
        <f t="shared" si="6"/>
        <v>1865.7589639763214</v>
      </c>
      <c r="I28" s="72">
        <f t="shared" si="6"/>
        <v>2128.0605887729998</v>
      </c>
      <c r="J28" s="72">
        <f t="shared" si="6"/>
        <v>2327.8726100899999</v>
      </c>
      <c r="K28" s="72">
        <f t="shared" si="6"/>
        <v>2555.1863818200004</v>
      </c>
      <c r="L28" s="72">
        <f t="shared" si="6"/>
        <v>2372.3375918699999</v>
      </c>
      <c r="M28" s="72">
        <f t="shared" si="6"/>
        <v>2356.86466432</v>
      </c>
      <c r="N28" s="72">
        <f t="shared" si="6"/>
        <v>2404.4179056929997</v>
      </c>
      <c r="O28" s="72">
        <f t="shared" si="6"/>
        <v>2178.18741843</v>
      </c>
      <c r="P28" s="72">
        <f t="shared" si="6"/>
        <v>2426.1016972400002</v>
      </c>
      <c r="Q28" s="72">
        <f t="shared" si="6"/>
        <v>1541.5523335799999</v>
      </c>
      <c r="R28" s="72">
        <f t="shared" si="6"/>
        <v>1929.8146723399989</v>
      </c>
      <c r="S28" s="72">
        <f t="shared" si="6"/>
        <v>1926.8814673299996</v>
      </c>
      <c r="T28" s="72">
        <f t="shared" si="6"/>
        <v>2054.9677086900006</v>
      </c>
      <c r="U28" s="72">
        <f t="shared" si="6"/>
        <v>2023.3821598300001</v>
      </c>
      <c r="V28" s="72">
        <f t="shared" si="6"/>
        <v>2231.4542158099994</v>
      </c>
      <c r="W28" s="72">
        <f t="shared" si="6"/>
        <v>2380.4914065200001</v>
      </c>
      <c r="X28" s="72">
        <f t="shared" si="6"/>
        <v>2494.8469013330009</v>
      </c>
      <c r="Y28" s="72">
        <f t="shared" si="6"/>
        <v>2222.9302814400003</v>
      </c>
      <c r="Z28" s="72">
        <f t="shared" si="6"/>
        <v>2437.3782145700002</v>
      </c>
      <c r="AA28" s="72">
        <f t="shared" si="6"/>
        <v>2499.2970471490003</v>
      </c>
      <c r="AB28" s="72">
        <f t="shared" si="6"/>
        <v>2544.1355103999999</v>
      </c>
      <c r="AC28" s="72">
        <f t="shared" ref="AC28:AJ28" si="7">+AC27+AC17</f>
        <v>26287.131918992</v>
      </c>
      <c r="AD28" s="72">
        <f t="shared" si="7"/>
        <v>2041.47524279</v>
      </c>
      <c r="AE28" s="72">
        <f t="shared" si="7"/>
        <v>2062.15047542</v>
      </c>
      <c r="AF28" s="72">
        <f t="shared" si="7"/>
        <v>2574.73305949</v>
      </c>
      <c r="AG28" s="72">
        <f t="shared" si="7"/>
        <v>2041.5065467399997</v>
      </c>
      <c r="AH28" s="72">
        <f t="shared" si="7"/>
        <v>2561.5380389799998</v>
      </c>
      <c r="AI28" s="72">
        <f t="shared" si="7"/>
        <v>2553.6832294900014</v>
      </c>
      <c r="AJ28" s="72">
        <f t="shared" si="7"/>
        <v>2340.6327280200003</v>
      </c>
      <c r="AK28" s="53"/>
      <c r="AL28" s="59"/>
      <c r="AM28" s="59"/>
      <c r="AN28" s="59"/>
      <c r="AO28" s="59"/>
      <c r="AP28" s="59"/>
      <c r="AQ28" s="59"/>
      <c r="AR28" s="59"/>
      <c r="AS28" s="59"/>
      <c r="AT28" s="60"/>
    </row>
    <row r="29" spans="4:47" x14ac:dyDescent="0.2">
      <c r="D29" s="73" t="s">
        <v>77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2"/>
      <c r="AF29" s="52"/>
      <c r="AG29" s="52"/>
      <c r="AH29" s="52"/>
      <c r="AI29" s="52"/>
      <c r="AJ29" s="52"/>
      <c r="AK29" s="53"/>
      <c r="AL29" s="53"/>
      <c r="AM29" s="53"/>
      <c r="AN29" s="53"/>
      <c r="AO29" s="53"/>
      <c r="AP29" s="53"/>
      <c r="AQ29" s="53"/>
      <c r="AR29" s="53"/>
      <c r="AS29" s="53"/>
      <c r="AT29" s="45"/>
    </row>
    <row r="30" spans="4:47" x14ac:dyDescent="0.2">
      <c r="D30" s="62" t="s">
        <v>78</v>
      </c>
      <c r="E30" s="50">
        <v>6232.9539999999997</v>
      </c>
      <c r="F30" s="50">
        <v>0</v>
      </c>
      <c r="G30" s="50">
        <v>0</v>
      </c>
      <c r="H30" s="50">
        <v>0</v>
      </c>
      <c r="I30" s="50">
        <v>698.05711086180509</v>
      </c>
      <c r="J30" s="50">
        <v>698.13488863955502</v>
      </c>
      <c r="K30" s="50">
        <v>699.79777752785003</v>
      </c>
      <c r="L30" s="50">
        <v>702.08444419370005</v>
      </c>
      <c r="M30" s="50">
        <v>702.49044419355505</v>
      </c>
      <c r="N30" s="50">
        <v>705.63111085910009</v>
      </c>
      <c r="O30" s="50">
        <v>706.53799974766503</v>
      </c>
      <c r="P30" s="50">
        <v>707.14622196967002</v>
      </c>
      <c r="Q30" s="50">
        <v>6379.59</v>
      </c>
      <c r="R30" s="50">
        <v>0</v>
      </c>
      <c r="S30" s="50">
        <v>0</v>
      </c>
      <c r="T30" s="50">
        <v>0</v>
      </c>
      <c r="U30" s="50">
        <v>713.99844464844409</v>
      </c>
      <c r="V30" s="50">
        <v>714.8047482042241</v>
      </c>
      <c r="W30" s="50">
        <v>715.48088863336</v>
      </c>
      <c r="X30" s="50">
        <v>715.53688863334014</v>
      </c>
      <c r="Y30" s="50">
        <v>716.37066641081992</v>
      </c>
      <c r="Z30" s="50">
        <v>721.73422196445995</v>
      </c>
      <c r="AA30" s="50">
        <v>724.25422242915204</v>
      </c>
      <c r="AB30" s="50">
        <v>725.59511131842407</v>
      </c>
      <c r="AC30" s="50">
        <f t="shared" ref="AC30:AC35" si="8">SUM(Q30:AB30)</f>
        <v>12127.365192242223</v>
      </c>
      <c r="AD30" s="50">
        <v>6541.5420000000004</v>
      </c>
      <c r="AE30" s="52">
        <v>0</v>
      </c>
      <c r="AF30" s="52">
        <v>0</v>
      </c>
      <c r="AG30" s="52">
        <v>0</v>
      </c>
      <c r="AH30" s="52">
        <v>737.79844465524411</v>
      </c>
      <c r="AI30" s="52">
        <v>1478.155778200108</v>
      </c>
      <c r="AJ30" s="52"/>
      <c r="AK30" s="53"/>
      <c r="AL30" s="53"/>
      <c r="AM30" s="53"/>
      <c r="AN30" s="53"/>
      <c r="AO30" s="53"/>
      <c r="AP30" s="53"/>
      <c r="AQ30" s="53"/>
      <c r="AR30" s="53"/>
      <c r="AS30" s="53"/>
      <c r="AT30" s="45">
        <f>+Q30/Q137</f>
        <v>139.85605738412903</v>
      </c>
      <c r="AU30" s="74"/>
    </row>
    <row r="31" spans="4:47" x14ac:dyDescent="0.2">
      <c r="D31" s="62" t="s">
        <v>79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341.66624999999999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f t="shared" si="8"/>
        <v>0</v>
      </c>
      <c r="AD31" s="50">
        <v>0</v>
      </c>
      <c r="AE31" s="52">
        <v>150</v>
      </c>
      <c r="AF31" s="52">
        <v>0</v>
      </c>
      <c r="AG31" s="52">
        <v>0</v>
      </c>
      <c r="AH31" s="52">
        <v>0</v>
      </c>
      <c r="AI31" s="52">
        <v>0</v>
      </c>
      <c r="AJ31" s="52"/>
      <c r="AK31" s="53"/>
      <c r="AL31" s="53"/>
      <c r="AM31" s="53"/>
      <c r="AN31" s="53"/>
      <c r="AO31" s="53"/>
      <c r="AP31" s="53"/>
      <c r="AQ31" s="53"/>
      <c r="AR31" s="53"/>
      <c r="AS31" s="53"/>
      <c r="AT31" s="45">
        <f>+P31/$P$137</f>
        <v>7.5045796295442111</v>
      </c>
      <c r="AU31" s="74"/>
    </row>
    <row r="32" spans="4:47" x14ac:dyDescent="0.2">
      <c r="D32" s="75" t="s">
        <v>80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f t="shared" si="8"/>
        <v>0</v>
      </c>
      <c r="AD32" s="50">
        <v>0</v>
      </c>
      <c r="AE32" s="52">
        <v>0</v>
      </c>
      <c r="AF32" s="52">
        <v>0</v>
      </c>
      <c r="AG32" s="52">
        <v>0</v>
      </c>
      <c r="AH32" s="52">
        <v>0</v>
      </c>
      <c r="AI32" s="52">
        <v>0</v>
      </c>
      <c r="AJ32" s="52"/>
      <c r="AK32" s="53"/>
      <c r="AL32" s="53"/>
      <c r="AM32" s="53"/>
      <c r="AN32" s="53"/>
      <c r="AO32" s="53"/>
      <c r="AP32" s="53"/>
      <c r="AQ32" s="53"/>
      <c r="AR32" s="53"/>
      <c r="AS32" s="53"/>
      <c r="AT32" s="45"/>
      <c r="AU32" s="74"/>
    </row>
    <row r="33" spans="4:49" x14ac:dyDescent="0.2">
      <c r="D33" s="62" t="s">
        <v>81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f t="shared" si="8"/>
        <v>0</v>
      </c>
      <c r="AD33" s="50">
        <v>0</v>
      </c>
      <c r="AE33" s="52">
        <v>0</v>
      </c>
      <c r="AF33" s="52">
        <v>0</v>
      </c>
      <c r="AG33" s="52">
        <v>0</v>
      </c>
      <c r="AH33" s="52">
        <v>0</v>
      </c>
      <c r="AI33" s="52">
        <v>0</v>
      </c>
      <c r="AJ33" s="52"/>
      <c r="AK33" s="53"/>
      <c r="AL33" s="53"/>
      <c r="AM33" s="53"/>
      <c r="AN33" s="53"/>
      <c r="AO33" s="53"/>
      <c r="AP33" s="53"/>
      <c r="AQ33" s="53"/>
      <c r="AR33" s="53"/>
      <c r="AS33" s="53"/>
      <c r="AT33" s="45"/>
      <c r="AU33" s="74"/>
    </row>
    <row r="34" spans="4:49" x14ac:dyDescent="0.2">
      <c r="D34" s="62" t="s">
        <v>82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78.3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44.2</v>
      </c>
      <c r="Y34" s="50">
        <v>20.399999999999999</v>
      </c>
      <c r="Z34" s="50">
        <v>40</v>
      </c>
      <c r="AA34" s="50">
        <v>20</v>
      </c>
      <c r="AB34" s="50">
        <v>101.5</v>
      </c>
      <c r="AC34" s="50">
        <f t="shared" si="8"/>
        <v>226.1</v>
      </c>
      <c r="AD34" s="50">
        <v>6</v>
      </c>
      <c r="AE34" s="52">
        <v>0</v>
      </c>
      <c r="AF34" s="52">
        <v>0</v>
      </c>
      <c r="AG34" s="52">
        <v>13.1</v>
      </c>
      <c r="AH34" s="52">
        <v>20</v>
      </c>
      <c r="AI34" s="52">
        <v>0</v>
      </c>
      <c r="AJ34" s="52"/>
      <c r="AK34" s="53"/>
      <c r="AL34" s="53"/>
      <c r="AM34" s="53"/>
      <c r="AN34" s="53"/>
      <c r="AO34" s="53"/>
      <c r="AP34" s="53"/>
      <c r="AQ34" s="53"/>
      <c r="AR34" s="53"/>
      <c r="AS34" s="53"/>
      <c r="AT34" s="45"/>
      <c r="AU34" s="74"/>
    </row>
    <row r="35" spans="4:49" x14ac:dyDescent="0.2">
      <c r="D35" s="75" t="s">
        <v>83</v>
      </c>
      <c r="E35" s="50">
        <v>0.79273625999999997</v>
      </c>
      <c r="F35" s="50">
        <v>0.61387643999999986</v>
      </c>
      <c r="G35" s="50">
        <v>0.51053376000000006</v>
      </c>
      <c r="H35" s="50">
        <v>0.42958022000000007</v>
      </c>
      <c r="I35" s="50">
        <v>0.63760732999999992</v>
      </c>
      <c r="J35" s="50">
        <v>1.8174711556299998</v>
      </c>
      <c r="K35" s="50">
        <v>0.45660975000000004</v>
      </c>
      <c r="L35" s="50">
        <v>0.45417548999999996</v>
      </c>
      <c r="M35" s="50">
        <v>1.0740157699999999</v>
      </c>
      <c r="N35" s="50">
        <v>0.42160647000000007</v>
      </c>
      <c r="O35" s="50">
        <v>0.36819036999999999</v>
      </c>
      <c r="P35" s="50">
        <v>5.7427461965520008</v>
      </c>
      <c r="Q35" s="50">
        <v>0.91419530000000004</v>
      </c>
      <c r="R35" s="50">
        <v>0.97043875000000002</v>
      </c>
      <c r="S35" s="50">
        <v>1.30608952</v>
      </c>
      <c r="T35" s="50">
        <v>0.8450704</v>
      </c>
      <c r="U35" s="50">
        <v>0.49755851000000001</v>
      </c>
      <c r="V35" s="50">
        <v>2.4016344364119999</v>
      </c>
      <c r="W35" s="50">
        <v>0.6187086100000001</v>
      </c>
      <c r="X35" s="50">
        <v>0.90257882000000011</v>
      </c>
      <c r="Y35" s="50">
        <v>1.0159870400000002</v>
      </c>
      <c r="Z35" s="50">
        <v>1.03692256</v>
      </c>
      <c r="AA35" s="50">
        <v>1.0714308700000001</v>
      </c>
      <c r="AB35" s="50">
        <v>5.6085792237399925</v>
      </c>
      <c r="AC35" s="50">
        <f t="shared" si="8"/>
        <v>17.189194040151996</v>
      </c>
      <c r="AD35" s="50">
        <v>0.90076756000000002</v>
      </c>
      <c r="AE35" s="52">
        <v>0.84049465000000012</v>
      </c>
      <c r="AF35" s="52">
        <v>0.79584386000000007</v>
      </c>
      <c r="AG35" s="52">
        <v>0.8302995600000006</v>
      </c>
      <c r="AH35" s="52">
        <v>16.445788980000003</v>
      </c>
      <c r="AI35" s="52">
        <v>2.5444810799410003</v>
      </c>
      <c r="AJ35" s="52">
        <v>0.47934873999999994</v>
      </c>
      <c r="AK35" s="53"/>
      <c r="AL35" s="53"/>
      <c r="AM35" s="53"/>
      <c r="AN35" s="53"/>
      <c r="AO35" s="53"/>
      <c r="AP35" s="53"/>
      <c r="AQ35" s="53"/>
      <c r="AR35" s="53"/>
      <c r="AS35" s="53"/>
      <c r="AT35" s="45">
        <f>+O35/$O$137</f>
        <v>8.1039803976270686E-3</v>
      </c>
      <c r="AU35" s="74"/>
    </row>
    <row r="36" spans="4:49" x14ac:dyDescent="0.2">
      <c r="D36" s="75" t="s">
        <v>84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2"/>
      <c r="AF36" s="52"/>
      <c r="AG36" s="52"/>
      <c r="AH36" s="52"/>
      <c r="AI36" s="52">
        <v>0</v>
      </c>
      <c r="AJ36" s="52">
        <v>6.9731092200000004</v>
      </c>
      <c r="AK36" s="53"/>
      <c r="AL36" s="53"/>
      <c r="AM36" s="53"/>
      <c r="AN36" s="53"/>
      <c r="AO36" s="53"/>
      <c r="AP36" s="53"/>
      <c r="AQ36" s="53"/>
      <c r="AR36" s="53"/>
      <c r="AS36" s="53"/>
      <c r="AT36" s="45"/>
      <c r="AU36" s="74"/>
    </row>
    <row r="37" spans="4:49" x14ac:dyDescent="0.2">
      <c r="D37" s="71" t="s">
        <v>85</v>
      </c>
      <c r="E37" s="72">
        <f t="shared" ref="E37:AI37" si="9">SUM(E30:E35)</f>
        <v>6233.74673626</v>
      </c>
      <c r="F37" s="72">
        <f t="shared" si="9"/>
        <v>0.61387643999999986</v>
      </c>
      <c r="G37" s="72">
        <f t="shared" si="9"/>
        <v>0.51053376000000006</v>
      </c>
      <c r="H37" s="72">
        <f t="shared" si="9"/>
        <v>0.42958022000000007</v>
      </c>
      <c r="I37" s="72">
        <f t="shared" si="9"/>
        <v>698.69471819180512</v>
      </c>
      <c r="J37" s="72">
        <f t="shared" si="9"/>
        <v>699.95235979518498</v>
      </c>
      <c r="K37" s="72">
        <f t="shared" si="9"/>
        <v>700.25438727785001</v>
      </c>
      <c r="L37" s="72">
        <f t="shared" si="9"/>
        <v>702.53861968370006</v>
      </c>
      <c r="M37" s="72">
        <f t="shared" si="9"/>
        <v>703.56445996355501</v>
      </c>
      <c r="N37" s="72">
        <f t="shared" si="9"/>
        <v>706.05271732910012</v>
      </c>
      <c r="O37" s="72">
        <f t="shared" si="9"/>
        <v>706.90619011766501</v>
      </c>
      <c r="P37" s="72">
        <f t="shared" si="9"/>
        <v>1132.8552181662219</v>
      </c>
      <c r="Q37" s="72">
        <f t="shared" si="9"/>
        <v>6380.5041953</v>
      </c>
      <c r="R37" s="72">
        <f t="shared" si="9"/>
        <v>0.97043875000000002</v>
      </c>
      <c r="S37" s="72">
        <f t="shared" si="9"/>
        <v>1.30608952</v>
      </c>
      <c r="T37" s="72">
        <f t="shared" si="9"/>
        <v>0.8450704</v>
      </c>
      <c r="U37" s="72">
        <f t="shared" si="9"/>
        <v>714.49600315844407</v>
      </c>
      <c r="V37" s="72">
        <f t="shared" si="9"/>
        <v>717.20638264063609</v>
      </c>
      <c r="W37" s="72">
        <f t="shared" si="9"/>
        <v>716.09959724335999</v>
      </c>
      <c r="X37" s="72">
        <f t="shared" si="9"/>
        <v>760.63946745334022</v>
      </c>
      <c r="Y37" s="72">
        <f t="shared" si="9"/>
        <v>737.78665345081993</v>
      </c>
      <c r="Z37" s="72">
        <f t="shared" si="9"/>
        <v>762.77114452445994</v>
      </c>
      <c r="AA37" s="72">
        <f t="shared" si="9"/>
        <v>745.32565329915201</v>
      </c>
      <c r="AB37" s="72">
        <f t="shared" si="9"/>
        <v>832.70369054216405</v>
      </c>
      <c r="AC37" s="72">
        <f t="shared" si="9"/>
        <v>12370.654386282376</v>
      </c>
      <c r="AD37" s="72">
        <f t="shared" si="9"/>
        <v>6548.44276756</v>
      </c>
      <c r="AE37" s="72">
        <f t="shared" si="9"/>
        <v>150.84049465000001</v>
      </c>
      <c r="AF37" s="72">
        <f t="shared" si="9"/>
        <v>0.79584386000000007</v>
      </c>
      <c r="AG37" s="72">
        <f t="shared" si="9"/>
        <v>13.93029956</v>
      </c>
      <c r="AH37" s="72">
        <f t="shared" si="9"/>
        <v>774.24423363524409</v>
      </c>
      <c r="AI37" s="72">
        <f t="shared" si="9"/>
        <v>1480.7002592800491</v>
      </c>
      <c r="AJ37" s="72">
        <f>SUM(AJ30:AJ36)</f>
        <v>7.4524579600000003</v>
      </c>
      <c r="AK37" s="53"/>
      <c r="AL37" s="59"/>
      <c r="AM37" s="59"/>
      <c r="AN37" s="59"/>
      <c r="AO37" s="59"/>
      <c r="AP37" s="59"/>
      <c r="AQ37" s="59"/>
      <c r="AR37" s="59"/>
      <c r="AS37" s="59"/>
      <c r="AT37" s="60">
        <f>+O37/$O$137</f>
        <v>15.559217118239109</v>
      </c>
      <c r="AU37" s="74"/>
    </row>
    <row r="38" spans="4:49" x14ac:dyDescent="0.2">
      <c r="D38" s="73" t="s">
        <v>86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2"/>
      <c r="AF38" s="52"/>
      <c r="AG38" s="52"/>
      <c r="AH38" s="52"/>
      <c r="AI38" s="52"/>
      <c r="AJ38" s="52"/>
      <c r="AK38" s="53"/>
      <c r="AL38" s="53"/>
      <c r="AM38" s="53"/>
      <c r="AN38" s="53"/>
      <c r="AO38" s="53"/>
      <c r="AP38" s="53"/>
      <c r="AQ38" s="53"/>
      <c r="AR38" s="53"/>
      <c r="AS38" s="53"/>
      <c r="AT38" s="45"/>
      <c r="AU38" s="74"/>
    </row>
    <row r="39" spans="4:49" x14ac:dyDescent="0.2">
      <c r="D39" s="76" t="s">
        <v>87</v>
      </c>
      <c r="E39" s="50">
        <v>35.771611470937032</v>
      </c>
      <c r="F39" s="50">
        <v>33.790772357265006</v>
      </c>
      <c r="G39" s="50">
        <v>16.792131369999961</v>
      </c>
      <c r="H39" s="50">
        <v>98.982418020000011</v>
      </c>
      <c r="I39" s="50">
        <v>15.945402769297944</v>
      </c>
      <c r="J39" s="50">
        <v>8.671031530000036</v>
      </c>
      <c r="K39" s="50">
        <v>9.9117177200000146</v>
      </c>
      <c r="L39" s="50">
        <v>19.565393770385999</v>
      </c>
      <c r="M39" s="50">
        <v>5.0012585599999877</v>
      </c>
      <c r="N39" s="50">
        <v>3.7329903400000184</v>
      </c>
      <c r="O39" s="50">
        <v>14.517528419873999</v>
      </c>
      <c r="P39" s="50">
        <v>71.498212859999967</v>
      </c>
      <c r="Q39" s="50">
        <v>25.184782189249994</v>
      </c>
      <c r="R39" s="50">
        <v>30.69435499999998</v>
      </c>
      <c r="S39" s="50">
        <v>43.61309953</v>
      </c>
      <c r="T39" s="50">
        <v>0.31012554999999703</v>
      </c>
      <c r="U39" s="50">
        <v>25.133738298740006</v>
      </c>
      <c r="V39" s="50">
        <v>29.782700891254002</v>
      </c>
      <c r="W39" s="50">
        <v>68.678275797733107</v>
      </c>
      <c r="X39" s="50">
        <v>142.41200876941002</v>
      </c>
      <c r="Y39" s="50">
        <v>37.119999999999997</v>
      </c>
      <c r="Z39" s="50">
        <v>74.101926352969954</v>
      </c>
      <c r="AA39" s="50">
        <v>38.386924732638057</v>
      </c>
      <c r="AB39" s="50">
        <v>5.9510934800000008</v>
      </c>
      <c r="AC39" s="50">
        <f t="shared" ref="AC39:AC40" si="10">SUM(Q39:AB39)</f>
        <v>521.36903059199517</v>
      </c>
      <c r="AD39" s="51">
        <v>1.0649936642239999</v>
      </c>
      <c r="AE39" s="52">
        <v>9.9859116899999787</v>
      </c>
      <c r="AF39" s="52">
        <v>42.346851770000065</v>
      </c>
      <c r="AG39" s="52">
        <v>30.293552003938007</v>
      </c>
      <c r="AH39" s="52">
        <v>7.5668376800000008</v>
      </c>
      <c r="AI39" s="52">
        <v>7.2870743167359979</v>
      </c>
      <c r="AJ39" s="52">
        <v>4.9037070800000002</v>
      </c>
      <c r="AK39" s="53"/>
      <c r="AL39" s="53"/>
      <c r="AM39" s="53"/>
      <c r="AN39" s="53"/>
      <c r="AO39" s="53"/>
      <c r="AP39" s="53"/>
      <c r="AQ39" s="53"/>
      <c r="AR39" s="53"/>
      <c r="AS39" s="53"/>
      <c r="AT39" s="45"/>
      <c r="AU39" s="74"/>
    </row>
    <row r="40" spans="4:49" x14ac:dyDescent="0.2">
      <c r="D40" s="76" t="s">
        <v>88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f t="shared" si="10"/>
        <v>0</v>
      </c>
      <c r="AD40" s="51">
        <v>0</v>
      </c>
      <c r="AE40" s="52">
        <v>0</v>
      </c>
      <c r="AF40" s="52">
        <v>0</v>
      </c>
      <c r="AG40" s="52">
        <v>0</v>
      </c>
      <c r="AH40" s="52"/>
      <c r="AI40" s="52">
        <v>0</v>
      </c>
      <c r="AJ40" s="52"/>
      <c r="AK40" s="53"/>
      <c r="AL40" s="53"/>
      <c r="AM40" s="53"/>
      <c r="AN40" s="53"/>
      <c r="AO40" s="53"/>
      <c r="AP40" s="53"/>
      <c r="AQ40" s="53"/>
      <c r="AR40" s="53"/>
      <c r="AS40" s="53"/>
      <c r="AT40" s="45"/>
      <c r="AU40" s="74"/>
    </row>
    <row r="41" spans="4:49" x14ac:dyDescent="0.2">
      <c r="D41" s="56" t="s">
        <v>89</v>
      </c>
      <c r="E41" s="72">
        <f t="shared" ref="E41:AB41" si="11">+E39+E40</f>
        <v>35.771611470937032</v>
      </c>
      <c r="F41" s="72">
        <f t="shared" si="11"/>
        <v>33.790772357265006</v>
      </c>
      <c r="G41" s="72">
        <f t="shared" si="11"/>
        <v>16.792131369999961</v>
      </c>
      <c r="H41" s="72">
        <f t="shared" si="11"/>
        <v>98.982418020000011</v>
      </c>
      <c r="I41" s="72">
        <f t="shared" si="11"/>
        <v>15.945402769297944</v>
      </c>
      <c r="J41" s="72">
        <f t="shared" si="11"/>
        <v>8.671031530000036</v>
      </c>
      <c r="K41" s="72">
        <f t="shared" si="11"/>
        <v>9.9117177200000146</v>
      </c>
      <c r="L41" s="72">
        <f t="shared" si="11"/>
        <v>19.565393770385999</v>
      </c>
      <c r="M41" s="72">
        <f t="shared" si="11"/>
        <v>5.0012585599999877</v>
      </c>
      <c r="N41" s="72">
        <f t="shared" si="11"/>
        <v>3.7329903400000184</v>
      </c>
      <c r="O41" s="72">
        <f t="shared" si="11"/>
        <v>14.517528419873999</v>
      </c>
      <c r="P41" s="72">
        <f t="shared" si="11"/>
        <v>71.498212859999967</v>
      </c>
      <c r="Q41" s="72">
        <f t="shared" si="11"/>
        <v>25.184782189249994</v>
      </c>
      <c r="R41" s="72">
        <f t="shared" si="11"/>
        <v>30.69435499999998</v>
      </c>
      <c r="S41" s="72">
        <f t="shared" si="11"/>
        <v>43.61309953</v>
      </c>
      <c r="T41" s="72">
        <f t="shared" si="11"/>
        <v>0.31012554999999703</v>
      </c>
      <c r="U41" s="72">
        <f t="shared" si="11"/>
        <v>25.133738298740006</v>
      </c>
      <c r="V41" s="72">
        <f t="shared" si="11"/>
        <v>29.782700891254002</v>
      </c>
      <c r="W41" s="72">
        <f t="shared" si="11"/>
        <v>68.678275797733107</v>
      </c>
      <c r="X41" s="72">
        <f t="shared" si="11"/>
        <v>142.41200876941002</v>
      </c>
      <c r="Y41" s="72">
        <f t="shared" si="11"/>
        <v>37.119999999999997</v>
      </c>
      <c r="Z41" s="72">
        <f t="shared" si="11"/>
        <v>74.101926352969954</v>
      </c>
      <c r="AA41" s="72">
        <f t="shared" si="11"/>
        <v>38.386924732638057</v>
      </c>
      <c r="AB41" s="72">
        <f t="shared" si="11"/>
        <v>5.9510934800000008</v>
      </c>
      <c r="AC41" s="72">
        <f t="shared" ref="AC41:AJ41" si="12">SUM(AC39:AC40)</f>
        <v>521.36903059199517</v>
      </c>
      <c r="AD41" s="72">
        <f t="shared" si="12"/>
        <v>1.0649936642239999</v>
      </c>
      <c r="AE41" s="72">
        <f t="shared" si="12"/>
        <v>9.9859116899999787</v>
      </c>
      <c r="AF41" s="72">
        <f t="shared" si="12"/>
        <v>42.346851770000065</v>
      </c>
      <c r="AG41" s="72">
        <f t="shared" si="12"/>
        <v>30.293552003938007</v>
      </c>
      <c r="AH41" s="72">
        <f t="shared" si="12"/>
        <v>7.5668376800000008</v>
      </c>
      <c r="AI41" s="72">
        <f t="shared" si="12"/>
        <v>7.2870743167359979</v>
      </c>
      <c r="AJ41" s="72">
        <f t="shared" si="12"/>
        <v>4.9037070800000002</v>
      </c>
      <c r="AK41" s="53"/>
      <c r="AL41" s="59"/>
      <c r="AM41" s="59"/>
      <c r="AN41" s="59"/>
      <c r="AO41" s="59"/>
      <c r="AP41" s="59"/>
      <c r="AQ41" s="59"/>
      <c r="AR41" s="59"/>
      <c r="AS41" s="59"/>
      <c r="AT41" s="60">
        <f>+O41/$O$137</f>
        <v>0.31953515171147134</v>
      </c>
      <c r="AU41" s="74"/>
    </row>
    <row r="42" spans="4:49" x14ac:dyDescent="0.2">
      <c r="D42" s="71" t="s">
        <v>90</v>
      </c>
      <c r="E42" s="57">
        <f t="shared" ref="E42:AB42" si="13">+E28+E37+E41</f>
        <v>8263.2316085330149</v>
      </c>
      <c r="F42" s="57">
        <f t="shared" si="13"/>
        <v>2278.0546727600376</v>
      </c>
      <c r="G42" s="57">
        <f t="shared" si="13"/>
        <v>2427.7161661936038</v>
      </c>
      <c r="H42" s="57">
        <f t="shared" si="13"/>
        <v>1965.1709622163214</v>
      </c>
      <c r="I42" s="57">
        <f t="shared" si="13"/>
        <v>2842.7007097341025</v>
      </c>
      <c r="J42" s="57">
        <f t="shared" si="13"/>
        <v>3036.4960014151852</v>
      </c>
      <c r="K42" s="57">
        <f t="shared" si="13"/>
        <v>3265.3524868178506</v>
      </c>
      <c r="L42" s="57">
        <f t="shared" si="13"/>
        <v>3094.4416053240861</v>
      </c>
      <c r="M42" s="57">
        <f t="shared" si="13"/>
        <v>3065.430382843555</v>
      </c>
      <c r="N42" s="57">
        <f t="shared" si="13"/>
        <v>3114.2036133621</v>
      </c>
      <c r="O42" s="57">
        <f t="shared" si="13"/>
        <v>2899.6111369675391</v>
      </c>
      <c r="P42" s="57">
        <f t="shared" si="13"/>
        <v>3630.4551282662219</v>
      </c>
      <c r="Q42" s="57">
        <f t="shared" si="13"/>
        <v>7947.2413110692496</v>
      </c>
      <c r="R42" s="57">
        <f t="shared" si="13"/>
        <v>1961.4794660899991</v>
      </c>
      <c r="S42" s="57">
        <f t="shared" si="13"/>
        <v>1971.8006563799995</v>
      </c>
      <c r="T42" s="57">
        <f t="shared" si="13"/>
        <v>2056.1229046400008</v>
      </c>
      <c r="U42" s="57">
        <f t="shared" si="13"/>
        <v>2763.0119012871842</v>
      </c>
      <c r="V42" s="57">
        <f t="shared" si="13"/>
        <v>2978.4432993418895</v>
      </c>
      <c r="W42" s="57">
        <f t="shared" si="13"/>
        <v>3165.2692795610933</v>
      </c>
      <c r="X42" s="57">
        <f t="shared" si="13"/>
        <v>3397.8983775557513</v>
      </c>
      <c r="Y42" s="57">
        <f t="shared" si="13"/>
        <v>2997.83693489082</v>
      </c>
      <c r="Z42" s="57">
        <f t="shared" si="13"/>
        <v>3274.2512854474303</v>
      </c>
      <c r="AA42" s="57">
        <f t="shared" si="13"/>
        <v>3283.0096251807904</v>
      </c>
      <c r="AB42" s="57">
        <f t="shared" si="13"/>
        <v>3382.7902944221642</v>
      </c>
      <c r="AC42" s="57">
        <f t="shared" ref="AC42:AJ42" si="14">+AC41+AC37+AC28</f>
        <v>39179.155335866373</v>
      </c>
      <c r="AD42" s="57">
        <f t="shared" si="14"/>
        <v>8590.9830040142242</v>
      </c>
      <c r="AE42" s="57">
        <f t="shared" si="14"/>
        <v>2222.9768817600002</v>
      </c>
      <c r="AF42" s="57">
        <f t="shared" si="14"/>
        <v>2617.8757551200001</v>
      </c>
      <c r="AG42" s="57">
        <f t="shared" si="14"/>
        <v>2085.7303983039378</v>
      </c>
      <c r="AH42" s="57">
        <f t="shared" si="14"/>
        <v>3343.3491102952439</v>
      </c>
      <c r="AI42" s="57">
        <f t="shared" si="14"/>
        <v>4041.6705630867864</v>
      </c>
      <c r="AJ42" s="57">
        <f t="shared" si="14"/>
        <v>2352.9888930600005</v>
      </c>
      <c r="AK42" s="53"/>
      <c r="AL42" s="59"/>
      <c r="AM42" s="59"/>
      <c r="AN42" s="59"/>
      <c r="AO42" s="59"/>
      <c r="AP42" s="59"/>
      <c r="AQ42" s="59"/>
      <c r="AR42" s="59"/>
      <c r="AS42" s="59"/>
      <c r="AT42" s="60">
        <f>+O42/$O$137</f>
        <v>63.821310195391789</v>
      </c>
      <c r="AU42" s="74">
        <f>+N42/N137</f>
        <v>68.694823032222928</v>
      </c>
    </row>
    <row r="43" spans="4:49" x14ac:dyDescent="0.2">
      <c r="D43" s="77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2"/>
      <c r="AF43" s="52"/>
      <c r="AG43" s="52"/>
      <c r="AH43" s="52"/>
      <c r="AI43" s="52"/>
      <c r="AJ43" s="52"/>
      <c r="AK43" s="53"/>
      <c r="AL43" s="53"/>
      <c r="AM43" s="53"/>
      <c r="AN43" s="53"/>
      <c r="AO43" s="53"/>
      <c r="AP43" s="53"/>
      <c r="AQ43" s="53"/>
      <c r="AR43" s="53"/>
      <c r="AS43" s="53"/>
      <c r="AT43" s="45"/>
      <c r="AU43" s="74"/>
    </row>
    <row r="44" spans="4:49" x14ac:dyDescent="0.2">
      <c r="D44" s="73" t="s">
        <v>91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2"/>
      <c r="AF44" s="52"/>
      <c r="AG44" s="52"/>
      <c r="AH44" s="52"/>
      <c r="AI44" s="52"/>
      <c r="AJ44" s="52"/>
      <c r="AK44" s="53"/>
      <c r="AL44" s="53"/>
      <c r="AM44" s="53"/>
      <c r="AN44" s="53"/>
      <c r="AO44" s="53"/>
      <c r="AP44" s="53"/>
      <c r="AQ44" s="53"/>
      <c r="AR44" s="53"/>
      <c r="AS44" s="53"/>
      <c r="AT44" s="45"/>
      <c r="AU44" s="74"/>
    </row>
    <row r="45" spans="4:49" x14ac:dyDescent="0.2">
      <c r="D45" s="78" t="s">
        <v>92</v>
      </c>
      <c r="E45" s="50">
        <v>93.70297235999999</v>
      </c>
      <c r="F45" s="50">
        <v>110.39311404000001</v>
      </c>
      <c r="G45" s="50">
        <v>109.75976389</v>
      </c>
      <c r="H45" s="50">
        <v>138.40696444999998</v>
      </c>
      <c r="I45" s="50">
        <v>96.923614729999997</v>
      </c>
      <c r="J45" s="79">
        <v>115.50387513</v>
      </c>
      <c r="K45" s="50">
        <v>143.39971659</v>
      </c>
      <c r="L45" s="50">
        <v>108.61381456000002</v>
      </c>
      <c r="M45" s="50">
        <v>137.43276951000001</v>
      </c>
      <c r="N45" s="50">
        <v>121.28249164719999</v>
      </c>
      <c r="O45" s="50">
        <v>120.643569142</v>
      </c>
      <c r="P45" s="50">
        <v>206.75343934999998</v>
      </c>
      <c r="Q45" s="80">
        <v>122.10340321000001</v>
      </c>
      <c r="R45" s="80">
        <v>141.90284636000001</v>
      </c>
      <c r="S45" s="80">
        <v>119.73100714000002</v>
      </c>
      <c r="T45" s="80">
        <v>135.24336086</v>
      </c>
      <c r="U45" s="80">
        <v>103.63447728999999</v>
      </c>
      <c r="V45" s="80">
        <v>134.70315139000002</v>
      </c>
      <c r="W45" s="80">
        <v>136.60791053999998</v>
      </c>
      <c r="X45" s="80">
        <v>181.24246970999997</v>
      </c>
      <c r="Y45" s="80">
        <v>132.69785309600002</v>
      </c>
      <c r="Z45" s="80">
        <v>140.95498757640001</v>
      </c>
      <c r="AA45" s="80">
        <v>142.23240133839997</v>
      </c>
      <c r="AB45" s="80">
        <v>267.62185216879993</v>
      </c>
      <c r="AC45" s="80">
        <f t="shared" ref="AC45:AC52" si="15">SUM(Q45:AB45)</f>
        <v>1758.6757206796001</v>
      </c>
      <c r="AD45" s="80">
        <v>122.55657426</v>
      </c>
      <c r="AE45" s="81">
        <v>143.08890646</v>
      </c>
      <c r="AF45" s="81">
        <v>171.09016221175</v>
      </c>
      <c r="AG45" s="81">
        <v>154.57248693000003</v>
      </c>
      <c r="AH45" s="81">
        <v>153.48706616000001</v>
      </c>
      <c r="AI45" s="81">
        <v>174.35406525000002</v>
      </c>
      <c r="AJ45" s="81">
        <v>188.35616889000002</v>
      </c>
      <c r="AK45" s="53"/>
      <c r="AL45" s="53"/>
      <c r="AM45" s="45"/>
      <c r="AN45" s="45"/>
      <c r="AO45" s="45"/>
      <c r="AP45" s="45"/>
      <c r="AQ45" s="45"/>
      <c r="AR45" s="45"/>
      <c r="AS45" s="53"/>
      <c r="AT45" s="45">
        <f>+O45/$O$137</f>
        <v>2.6554011160762681</v>
      </c>
      <c r="AU45" s="74"/>
    </row>
    <row r="46" spans="4:49" ht="13.5" thickBot="1" x14ac:dyDescent="0.25">
      <c r="D46" s="78" t="s">
        <v>93</v>
      </c>
      <c r="E46" s="50">
        <v>194.63598603228201</v>
      </c>
      <c r="F46" s="50">
        <v>271.79850974516006</v>
      </c>
      <c r="G46" s="50">
        <v>281.92428115964594</v>
      </c>
      <c r="H46" s="50">
        <v>287.05676844385601</v>
      </c>
      <c r="I46" s="50">
        <f>322.695276915883+I115</f>
        <v>205.25003394588305</v>
      </c>
      <c r="J46" s="82">
        <v>243.31220822496806</v>
      </c>
      <c r="K46" s="50">
        <v>154.076712513209</v>
      </c>
      <c r="L46" s="50">
        <v>128.50875387731</v>
      </c>
      <c r="M46" s="50">
        <v>152.51384653908801</v>
      </c>
      <c r="N46" s="50">
        <v>349.19242857943999</v>
      </c>
      <c r="O46" s="50">
        <f>120.097485042133+O115</f>
        <v>113.780796372133</v>
      </c>
      <c r="P46" s="50">
        <f>429.597971917201+P115</f>
        <v>296.64554708720095</v>
      </c>
      <c r="Q46" s="50">
        <v>282.91631791678606</v>
      </c>
      <c r="R46" s="50">
        <v>202.47021307872103</v>
      </c>
      <c r="S46" s="50">
        <v>241.81398881196702</v>
      </c>
      <c r="T46" s="50">
        <v>231.46229280570992</v>
      </c>
      <c r="U46" s="50">
        <v>158.33940607253794</v>
      </c>
      <c r="V46" s="50">
        <v>178.02280261453802</v>
      </c>
      <c r="W46" s="50">
        <v>195.86049136598098</v>
      </c>
      <c r="X46" s="50">
        <v>335.63183408511389</v>
      </c>
      <c r="Y46" s="50">
        <v>109.34087492842593</v>
      </c>
      <c r="Z46" s="50">
        <v>348.26959174564803</v>
      </c>
      <c r="AA46" s="50">
        <v>369.29512801976989</v>
      </c>
      <c r="AB46" s="50">
        <v>241.77141803315209</v>
      </c>
      <c r="AC46" s="50">
        <f t="shared" si="15"/>
        <v>2895.1943594783511</v>
      </c>
      <c r="AD46" s="51">
        <v>232.26866212815304</v>
      </c>
      <c r="AE46" s="52">
        <v>249.19344290653896</v>
      </c>
      <c r="AF46" s="52">
        <v>252.0046537027749</v>
      </c>
      <c r="AG46" s="52">
        <v>179.91235892280901</v>
      </c>
      <c r="AH46" s="52">
        <v>212.25802137808196</v>
      </c>
      <c r="AI46" s="52">
        <v>398.30488478248594</v>
      </c>
      <c r="AJ46" s="52">
        <v>138.38921877176097</v>
      </c>
      <c r="AK46" s="53"/>
      <c r="AL46" s="53"/>
      <c r="AM46" s="45"/>
      <c r="AN46" s="45"/>
      <c r="AO46" s="45"/>
      <c r="AP46" s="45"/>
      <c r="AQ46" s="45"/>
      <c r="AR46" s="45"/>
      <c r="AS46" s="53"/>
      <c r="AT46" s="45">
        <f>+O46/$O$137</f>
        <v>2.5043494305029297</v>
      </c>
      <c r="AU46" s="74"/>
    </row>
    <row r="47" spans="4:49" x14ac:dyDescent="0.2">
      <c r="D47" s="78" t="s">
        <v>94</v>
      </c>
      <c r="E47" s="50">
        <v>38.280524980000003</v>
      </c>
      <c r="F47" s="50">
        <v>27.054375459999999</v>
      </c>
      <c r="G47" s="50">
        <v>40.238562702999999</v>
      </c>
      <c r="H47" s="50">
        <v>40.506137500000001</v>
      </c>
      <c r="I47" s="50">
        <v>31.224036420000004</v>
      </c>
      <c r="J47" s="50">
        <v>38.738099920000003</v>
      </c>
      <c r="K47" s="50">
        <v>34.980107213928001</v>
      </c>
      <c r="L47" s="50">
        <v>26.833382329999996</v>
      </c>
      <c r="M47" s="50">
        <v>26.573718269999997</v>
      </c>
      <c r="N47" s="50">
        <v>28.086112739999997</v>
      </c>
      <c r="O47" s="50">
        <v>38.278679480000008</v>
      </c>
      <c r="P47" s="50">
        <v>16.656402038008</v>
      </c>
      <c r="Q47" s="50">
        <v>46.962077739999998</v>
      </c>
      <c r="R47" s="50">
        <v>37.278628820000002</v>
      </c>
      <c r="S47" s="50">
        <v>28.99876506</v>
      </c>
      <c r="T47" s="50">
        <v>38.381059890000003</v>
      </c>
      <c r="U47" s="50">
        <v>27.23300042</v>
      </c>
      <c r="V47" s="50">
        <v>34.233023275259995</v>
      </c>
      <c r="W47" s="50">
        <v>23.855685879999999</v>
      </c>
      <c r="X47" s="50">
        <v>29.725637440000003</v>
      </c>
      <c r="Y47" s="50">
        <v>51.547366410000009</v>
      </c>
      <c r="Z47" s="50">
        <v>26.968889100000002</v>
      </c>
      <c r="AA47" s="50">
        <v>35.351632369999997</v>
      </c>
      <c r="AB47" s="50">
        <v>52.369665710256008</v>
      </c>
      <c r="AC47" s="50">
        <f t="shared" si="15"/>
        <v>432.90543211551602</v>
      </c>
      <c r="AD47" s="51">
        <v>42.201083080000004</v>
      </c>
      <c r="AE47" s="52">
        <v>26.301147610000001</v>
      </c>
      <c r="AF47" s="52">
        <v>40.486327070000002</v>
      </c>
      <c r="AG47" s="52">
        <v>37.888370939999994</v>
      </c>
      <c r="AH47" s="52">
        <v>33.966277690000005</v>
      </c>
      <c r="AI47" s="52">
        <v>12.516995633028001</v>
      </c>
      <c r="AJ47" s="52">
        <v>27.148517469999998</v>
      </c>
      <c r="AK47" s="53"/>
      <c r="AL47" s="83"/>
      <c r="AM47" s="45"/>
      <c r="AN47" s="45"/>
      <c r="AO47" s="45"/>
      <c r="AP47" s="45"/>
      <c r="AQ47" s="45"/>
      <c r="AR47" s="45"/>
      <c r="AS47" s="53">
        <f>+AM47+AM46</f>
        <v>0</v>
      </c>
      <c r="AT47" s="45">
        <f>+O47/$O$137</f>
        <v>0.84252520823119192</v>
      </c>
      <c r="AU47" s="74">
        <v>181.61507180999999</v>
      </c>
      <c r="AV47" s="26">
        <f>+AU47/(N46+N47)</f>
        <v>0.48138192852115425</v>
      </c>
      <c r="AW47" s="74">
        <f>+N47+N46</f>
        <v>377.27854131943997</v>
      </c>
    </row>
    <row r="48" spans="4:49" ht="13.5" thickBot="1" x14ac:dyDescent="0.25">
      <c r="D48" s="62" t="s">
        <v>95</v>
      </c>
      <c r="E48" s="50"/>
      <c r="F48" s="50"/>
      <c r="G48" s="50"/>
      <c r="H48" s="50"/>
      <c r="I48" s="50"/>
      <c r="J48" s="82">
        <v>13.303479150000001</v>
      </c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0">
        <f t="shared" si="15"/>
        <v>0</v>
      </c>
      <c r="AD48" s="51"/>
      <c r="AE48" s="81"/>
      <c r="AF48" s="81"/>
      <c r="AG48" s="81"/>
      <c r="AH48" s="81"/>
      <c r="AI48" s="81"/>
      <c r="AJ48" s="81"/>
      <c r="AK48" s="53"/>
      <c r="AL48" s="85"/>
      <c r="AU48" s="74"/>
      <c r="AV48" s="74">
        <f>+AT46+AT47</f>
        <v>3.3468746387341217</v>
      </c>
    </row>
    <row r="49" spans="4:47" x14ac:dyDescent="0.2">
      <c r="D49" s="62" t="s">
        <v>96</v>
      </c>
      <c r="E49" s="50"/>
      <c r="F49" s="50"/>
      <c r="G49" s="50"/>
      <c r="H49" s="50"/>
      <c r="I49" s="50"/>
      <c r="J49" s="79">
        <v>7.8227254100000003</v>
      </c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>
        <f t="shared" si="15"/>
        <v>0</v>
      </c>
      <c r="AD49" s="50"/>
      <c r="AE49" s="52"/>
      <c r="AF49" s="52"/>
      <c r="AG49" s="52"/>
      <c r="AH49" s="52"/>
      <c r="AI49" s="52"/>
      <c r="AJ49" s="52"/>
      <c r="AK49" s="53"/>
      <c r="AL49" s="53"/>
      <c r="AM49" s="53"/>
      <c r="AN49" s="53"/>
      <c r="AO49" s="53"/>
      <c r="AP49" s="53"/>
      <c r="AQ49" s="53"/>
      <c r="AR49" s="53"/>
      <c r="AS49" s="53"/>
      <c r="AT49" s="45"/>
      <c r="AU49" s="74"/>
    </row>
    <row r="50" spans="4:47" x14ac:dyDescent="0.2">
      <c r="D50" s="62" t="s">
        <v>97</v>
      </c>
      <c r="E50" s="50"/>
      <c r="F50" s="50"/>
      <c r="G50" s="50"/>
      <c r="H50" s="50"/>
      <c r="I50" s="50"/>
      <c r="J50" s="82">
        <v>14.287861619999999</v>
      </c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>
        <f t="shared" si="15"/>
        <v>0</v>
      </c>
      <c r="AD50" s="50"/>
      <c r="AE50" s="52"/>
      <c r="AF50" s="52"/>
      <c r="AG50" s="52"/>
      <c r="AH50" s="52"/>
      <c r="AI50" s="52"/>
      <c r="AJ50" s="52"/>
      <c r="AK50" s="53"/>
      <c r="AL50" s="53"/>
      <c r="AM50" s="53"/>
      <c r="AN50" s="53"/>
      <c r="AO50" s="53"/>
      <c r="AP50" s="53"/>
      <c r="AQ50" s="53"/>
      <c r="AR50" s="53"/>
      <c r="AS50" s="53"/>
      <c r="AT50" s="45"/>
      <c r="AU50" s="74"/>
    </row>
    <row r="51" spans="4:47" x14ac:dyDescent="0.2">
      <c r="D51" s="62" t="s">
        <v>98</v>
      </c>
      <c r="E51" s="50"/>
      <c r="F51" s="50"/>
      <c r="G51" s="50"/>
      <c r="H51" s="50"/>
      <c r="I51" s="50"/>
      <c r="J51" s="82">
        <v>3.32403374</v>
      </c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80">
        <f t="shared" si="15"/>
        <v>0</v>
      </c>
      <c r="AD51" s="50"/>
      <c r="AE51" s="81"/>
      <c r="AF51" s="81"/>
      <c r="AG51" s="81"/>
      <c r="AH51" s="81"/>
      <c r="AI51" s="81"/>
      <c r="AJ51" s="81"/>
      <c r="AK51" s="53"/>
      <c r="AL51" s="53"/>
      <c r="AM51" s="53"/>
      <c r="AN51" s="53"/>
      <c r="AO51" s="53"/>
      <c r="AP51" s="53"/>
      <c r="AQ51" s="53"/>
      <c r="AR51" s="53"/>
      <c r="AS51" s="53"/>
      <c r="AT51" s="45"/>
      <c r="AU51" s="74"/>
    </row>
    <row r="52" spans="4:47" x14ac:dyDescent="0.2">
      <c r="D52" s="78" t="s">
        <v>99</v>
      </c>
      <c r="E52" s="50">
        <v>0</v>
      </c>
      <c r="F52" s="50">
        <v>1.3177999999999999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>
        <v>194.36947531999999</v>
      </c>
      <c r="W52" s="50">
        <v>32.707929669999999</v>
      </c>
      <c r="X52" s="50">
        <v>31.620275862199996</v>
      </c>
      <c r="Y52" s="50">
        <v>47.369372984649999</v>
      </c>
      <c r="Z52" s="50">
        <v>50.908337450000012</v>
      </c>
      <c r="AA52" s="50">
        <v>23.321764060799996</v>
      </c>
      <c r="AB52" s="50">
        <v>20.557379996976003</v>
      </c>
      <c r="AC52" s="50">
        <f t="shared" si="15"/>
        <v>400.85453534462602</v>
      </c>
      <c r="AD52" s="50">
        <v>5.5568618599999997</v>
      </c>
      <c r="AE52" s="52">
        <v>57.610023623783995</v>
      </c>
      <c r="AF52" s="52">
        <v>8.7645490092090004</v>
      </c>
      <c r="AG52" s="52">
        <v>10.686994163388</v>
      </c>
      <c r="AH52" s="52">
        <v>19.809637004438997</v>
      </c>
      <c r="AI52" s="52">
        <v>2.63</v>
      </c>
      <c r="AJ52" s="52">
        <v>3.5100397147000004</v>
      </c>
      <c r="AK52" s="53"/>
      <c r="AL52" s="53"/>
      <c r="AM52" s="53"/>
      <c r="AN52" s="53"/>
      <c r="AO52" s="53"/>
      <c r="AP52" s="53"/>
      <c r="AQ52" s="53"/>
      <c r="AR52" s="53"/>
      <c r="AS52" s="53"/>
      <c r="AT52" s="45"/>
      <c r="AU52" s="74"/>
    </row>
    <row r="53" spans="4:47" x14ac:dyDescent="0.2">
      <c r="D53" s="86" t="s">
        <v>100</v>
      </c>
      <c r="E53" s="72">
        <f>SUM(E45:E52)</f>
        <v>326.61948337228199</v>
      </c>
      <c r="F53" s="72">
        <f>SUM(F45:F52)</f>
        <v>410.56379924516006</v>
      </c>
      <c r="G53" s="72">
        <f>SUM(G45:G52)</f>
        <v>431.92260775264594</v>
      </c>
      <c r="H53" s="72">
        <f>SUM(H45:H52)</f>
        <v>465.96987039385601</v>
      </c>
      <c r="I53" s="72">
        <f>SUM(I45:I52)</f>
        <v>333.39768509588305</v>
      </c>
      <c r="J53" s="72">
        <f>SUM(J45:J47)</f>
        <v>397.55418327496807</v>
      </c>
      <c r="K53" s="72">
        <f t="shared" ref="K53:AB53" si="16">SUM(K45:K52)</f>
        <v>332.45653631713702</v>
      </c>
      <c r="L53" s="72">
        <f t="shared" si="16"/>
        <v>263.95595076731001</v>
      </c>
      <c r="M53" s="72">
        <f t="shared" si="16"/>
        <v>316.52033431908797</v>
      </c>
      <c r="N53" s="72">
        <f t="shared" si="16"/>
        <v>498.56103296663997</v>
      </c>
      <c r="O53" s="72">
        <f t="shared" si="16"/>
        <v>272.70304499413299</v>
      </c>
      <c r="P53" s="72">
        <f t="shared" si="16"/>
        <v>520.05538847520893</v>
      </c>
      <c r="Q53" s="72">
        <f t="shared" si="16"/>
        <v>451.98179886678605</v>
      </c>
      <c r="R53" s="72">
        <f t="shared" si="16"/>
        <v>381.65168825872104</v>
      </c>
      <c r="S53" s="72">
        <f t="shared" si="16"/>
        <v>390.54376101196704</v>
      </c>
      <c r="T53" s="72">
        <f t="shared" si="16"/>
        <v>405.08671355570993</v>
      </c>
      <c r="U53" s="72">
        <f t="shared" si="16"/>
        <v>289.20688378253794</v>
      </c>
      <c r="V53" s="72">
        <f t="shared" si="16"/>
        <v>541.32845259979808</v>
      </c>
      <c r="W53" s="72">
        <f t="shared" si="16"/>
        <v>389.03201745598096</v>
      </c>
      <c r="X53" s="72">
        <f t="shared" si="16"/>
        <v>578.22021709731382</v>
      </c>
      <c r="Y53" s="72">
        <f t="shared" si="16"/>
        <v>340.95546741907594</v>
      </c>
      <c r="Z53" s="72">
        <f t="shared" si="16"/>
        <v>567.10180587204798</v>
      </c>
      <c r="AA53" s="72">
        <f t="shared" si="16"/>
        <v>570.20092578896981</v>
      </c>
      <c r="AB53" s="72">
        <f t="shared" si="16"/>
        <v>582.32031590918405</v>
      </c>
      <c r="AC53" s="72">
        <f t="shared" ref="AC53:AI53" si="17">SUM(AC45:AC47)+AC52</f>
        <v>5487.6300476180932</v>
      </c>
      <c r="AD53" s="72">
        <f t="shared" si="17"/>
        <v>402.58318132815305</v>
      </c>
      <c r="AE53" s="72">
        <f t="shared" si="17"/>
        <v>476.19352060032293</v>
      </c>
      <c r="AF53" s="72">
        <f t="shared" si="17"/>
        <v>472.34569199373396</v>
      </c>
      <c r="AG53" s="72">
        <f t="shared" si="17"/>
        <v>383.06021095619707</v>
      </c>
      <c r="AH53" s="72">
        <f t="shared" si="17"/>
        <v>419.52100223252103</v>
      </c>
      <c r="AI53" s="72">
        <f t="shared" si="17"/>
        <v>587.80594566551406</v>
      </c>
      <c r="AJ53" s="72">
        <f>SUM(AJ45:AJ47)+AJ52</f>
        <v>357.403944846461</v>
      </c>
      <c r="AK53" s="53"/>
      <c r="AL53" s="59"/>
      <c r="AM53" s="59"/>
      <c r="AN53" s="59"/>
      <c r="AO53" s="59"/>
      <c r="AP53" s="59"/>
      <c r="AQ53" s="59"/>
      <c r="AR53" s="59"/>
      <c r="AS53" s="59">
        <v>508.89281377999998</v>
      </c>
      <c r="AT53" s="60">
        <f>+Q53/Q137</f>
        <v>9.9085352505247357</v>
      </c>
      <c r="AU53" s="74">
        <f>+N53/N137</f>
        <v>10.997534581058039</v>
      </c>
    </row>
    <row r="54" spans="4:47" x14ac:dyDescent="0.2">
      <c r="D54" s="73" t="s">
        <v>101</v>
      </c>
      <c r="E54" s="50"/>
      <c r="F54" s="50"/>
      <c r="G54" s="50"/>
      <c r="H54" s="50"/>
      <c r="I54" s="50"/>
      <c r="J54" s="50">
        <f>+J53/J137</f>
        <v>8.8512845985571946</v>
      </c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2"/>
      <c r="AF54" s="52"/>
      <c r="AG54" s="52"/>
      <c r="AH54" s="52"/>
      <c r="AI54" s="52"/>
      <c r="AJ54" s="52"/>
      <c r="AK54" s="53"/>
      <c r="AL54" s="53"/>
      <c r="AM54" s="53"/>
      <c r="AN54" s="53"/>
      <c r="AO54" s="53"/>
      <c r="AP54" s="53"/>
      <c r="AQ54" s="53"/>
      <c r="AR54" s="53"/>
      <c r="AS54" s="53">
        <f>+Q53+R53</f>
        <v>833.63348712550714</v>
      </c>
      <c r="AT54" s="45"/>
      <c r="AU54" s="74"/>
    </row>
    <row r="55" spans="4:47" x14ac:dyDescent="0.2">
      <c r="D55" s="46" t="s">
        <v>102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2"/>
      <c r="AF55" s="52"/>
      <c r="AG55" s="52"/>
      <c r="AH55" s="52"/>
      <c r="AI55" s="52"/>
      <c r="AJ55" s="52"/>
      <c r="AK55" s="53"/>
      <c r="AL55" s="53"/>
      <c r="AM55" s="53"/>
      <c r="AN55" s="53"/>
      <c r="AO55" s="53"/>
      <c r="AP55" s="53"/>
      <c r="AQ55" s="53"/>
      <c r="AR55" s="53"/>
      <c r="AS55" s="53">
        <f>+AS53-AS54</f>
        <v>-324.74067334550716</v>
      </c>
      <c r="AT55" s="45"/>
      <c r="AU55" s="74"/>
    </row>
    <row r="56" spans="4:47" x14ac:dyDescent="0.2">
      <c r="D56" s="62" t="s">
        <v>103</v>
      </c>
      <c r="E56" s="50">
        <v>1265.9332042581389</v>
      </c>
      <c r="F56" s="50">
        <v>277.93106</v>
      </c>
      <c r="G56" s="50">
        <v>393.92660999999998</v>
      </c>
      <c r="H56" s="50">
        <v>89.699799909999996</v>
      </c>
      <c r="I56" s="50">
        <v>376.63894458008099</v>
      </c>
      <c r="J56" s="50">
        <v>195.31330974234899</v>
      </c>
      <c r="K56" s="50">
        <v>361.16660463168296</v>
      </c>
      <c r="L56" s="50">
        <v>230.66573654999999</v>
      </c>
      <c r="M56" s="50">
        <v>372.97536983414705</v>
      </c>
      <c r="N56" s="50">
        <v>355.54477451786659</v>
      </c>
      <c r="O56" s="50">
        <v>262.81769694395592</v>
      </c>
      <c r="P56" s="50">
        <v>256.15614496628791</v>
      </c>
      <c r="Q56" s="50">
        <v>186.29927878999999</v>
      </c>
      <c r="R56" s="50">
        <v>414.06088988399404</v>
      </c>
      <c r="S56" s="50">
        <v>219.27200997000006</v>
      </c>
      <c r="T56" s="50">
        <v>118.95678719999999</v>
      </c>
      <c r="U56" s="50">
        <v>450.167352718465</v>
      </c>
      <c r="V56" s="50">
        <v>296.24772984999998</v>
      </c>
      <c r="W56" s="50">
        <v>352.02904703000002</v>
      </c>
      <c r="X56" s="50">
        <v>318.49063321353395</v>
      </c>
      <c r="Y56" s="50">
        <v>326.2348952831</v>
      </c>
      <c r="Z56" s="50">
        <v>321.940081213604</v>
      </c>
      <c r="AA56" s="50">
        <v>363.29919705000003</v>
      </c>
      <c r="AB56" s="50">
        <v>325.48913121023804</v>
      </c>
      <c r="AC56" s="50">
        <f t="shared" ref="AC56:AC75" si="18">SUM(Q56:AB56)</f>
        <v>3692.4870334129355</v>
      </c>
      <c r="AD56" s="50">
        <v>303.12992545182402</v>
      </c>
      <c r="AE56" s="52">
        <v>311.17045626631</v>
      </c>
      <c r="AF56" s="52">
        <v>318.36407312669394</v>
      </c>
      <c r="AG56" s="52">
        <v>30.527975819999998</v>
      </c>
      <c r="AH56" s="52">
        <v>229.64485229961997</v>
      </c>
      <c r="AI56" s="52">
        <v>325.98410600525096</v>
      </c>
      <c r="AJ56" s="52">
        <v>55.136984069999997</v>
      </c>
      <c r="AK56" s="53"/>
      <c r="AL56" s="53"/>
      <c r="AM56" s="53"/>
      <c r="AN56" s="53"/>
      <c r="AO56" s="53"/>
      <c r="AP56" s="53"/>
      <c r="AQ56" s="53"/>
      <c r="AR56" s="53"/>
      <c r="AS56" s="53"/>
      <c r="AT56" s="45"/>
      <c r="AU56" s="74"/>
    </row>
    <row r="57" spans="4:47" x14ac:dyDescent="0.2">
      <c r="D57" s="62" t="s">
        <v>104</v>
      </c>
      <c r="E57" s="50">
        <v>4150.6151432240886</v>
      </c>
      <c r="F57" s="50">
        <v>384.16937559999997</v>
      </c>
      <c r="G57" s="50">
        <v>593.64090254086591</v>
      </c>
      <c r="H57" s="50">
        <v>157.90095099999999</v>
      </c>
      <c r="I57" s="50">
        <v>822.23538960937196</v>
      </c>
      <c r="J57" s="50">
        <v>653.644289088356</v>
      </c>
      <c r="K57" s="50">
        <v>736.19517329000018</v>
      </c>
      <c r="L57" s="50">
        <v>591.29322586655996</v>
      </c>
      <c r="M57" s="50">
        <v>726.60499202609685</v>
      </c>
      <c r="N57" s="50">
        <v>571.05507520671154</v>
      </c>
      <c r="O57" s="50">
        <v>71.508075923706073</v>
      </c>
      <c r="P57" s="50">
        <v>570.9849145286795</v>
      </c>
      <c r="Q57" s="50">
        <v>500.049296222245</v>
      </c>
      <c r="R57" s="50">
        <v>566.16398895910595</v>
      </c>
      <c r="S57" s="50">
        <v>260.77949626000003</v>
      </c>
      <c r="T57" s="50">
        <v>142.42821606000001</v>
      </c>
      <c r="U57" s="50">
        <v>509.22489213682104</v>
      </c>
      <c r="V57" s="50">
        <v>384.09548120366804</v>
      </c>
      <c r="W57" s="50">
        <v>903.35341236572503</v>
      </c>
      <c r="X57" s="50">
        <v>94.490163770000009</v>
      </c>
      <c r="Y57" s="50">
        <v>529.54668430332299</v>
      </c>
      <c r="Z57" s="50">
        <v>403.59724516</v>
      </c>
      <c r="AA57" s="50">
        <v>230.97842174011905</v>
      </c>
      <c r="AB57" s="50">
        <v>156.42452213559997</v>
      </c>
      <c r="AC57" s="50">
        <f t="shared" si="18"/>
        <v>4681.1318203166074</v>
      </c>
      <c r="AD57" s="50">
        <v>8.3943379588680003</v>
      </c>
      <c r="AE57" s="52">
        <v>236.91961969546099</v>
      </c>
      <c r="AF57" s="52">
        <v>715.82438079257599</v>
      </c>
      <c r="AG57" s="52">
        <v>0</v>
      </c>
      <c r="AH57" s="52">
        <v>335.23971227692101</v>
      </c>
      <c r="AI57" s="52">
        <v>522.44403895662003</v>
      </c>
      <c r="AJ57" s="52">
        <v>0</v>
      </c>
      <c r="AK57" s="53"/>
      <c r="AL57" s="53"/>
      <c r="AM57" s="53"/>
      <c r="AN57" s="53"/>
      <c r="AO57" s="53"/>
      <c r="AP57" s="53"/>
      <c r="AQ57" s="53"/>
      <c r="AR57" s="53"/>
      <c r="AS57" s="53"/>
      <c r="AT57" s="45"/>
      <c r="AU57" s="74"/>
    </row>
    <row r="58" spans="4:47" x14ac:dyDescent="0.2">
      <c r="D58" s="62" t="s">
        <v>105</v>
      </c>
      <c r="E58" s="50">
        <v>1009.4639222659159</v>
      </c>
      <c r="F58" s="50">
        <v>206.74612999999999</v>
      </c>
      <c r="G58" s="50">
        <v>98.553780000000003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346.24588363999999</v>
      </c>
      <c r="N58" s="50">
        <v>365.86957641443502</v>
      </c>
      <c r="O58" s="50">
        <v>374.7894832219323</v>
      </c>
      <c r="P58" s="50">
        <v>436.90760675423405</v>
      </c>
      <c r="Q58" s="50">
        <v>421.45924088696</v>
      </c>
      <c r="R58" s="50">
        <v>0</v>
      </c>
      <c r="S58" s="50">
        <v>137.55051297</v>
      </c>
      <c r="T58" s="50">
        <v>467.82186644950406</v>
      </c>
      <c r="U58" s="50">
        <v>0</v>
      </c>
      <c r="V58" s="50">
        <v>279.83964590033605</v>
      </c>
      <c r="W58" s="50">
        <v>293.17695300262307</v>
      </c>
      <c r="X58" s="50">
        <v>264.01420368926802</v>
      </c>
      <c r="Y58" s="50">
        <v>291.51374645831402</v>
      </c>
      <c r="Z58" s="50">
        <v>406.27500303271199</v>
      </c>
      <c r="AA58" s="50">
        <v>1166.0729902297601</v>
      </c>
      <c r="AB58" s="50">
        <v>387.61598782999999</v>
      </c>
      <c r="AC58" s="50">
        <f t="shared" si="18"/>
        <v>4115.3401504494777</v>
      </c>
      <c r="AD58" s="50">
        <v>541.81231439109195</v>
      </c>
      <c r="AE58" s="52">
        <v>361.444862519369</v>
      </c>
      <c r="AF58" s="52">
        <v>528.67684938146408</v>
      </c>
      <c r="AG58" s="52">
        <v>788.51460125317806</v>
      </c>
      <c r="AH58" s="52">
        <v>532.32642329065004</v>
      </c>
      <c r="AI58" s="52">
        <v>681.70557792835302</v>
      </c>
      <c r="AJ58" s="52">
        <v>390.05492115919998</v>
      </c>
      <c r="AK58" s="53"/>
      <c r="AL58" s="53"/>
      <c r="AM58" s="53"/>
      <c r="AN58" s="53"/>
      <c r="AO58" s="53"/>
      <c r="AP58" s="53"/>
      <c r="AQ58" s="53"/>
      <c r="AR58" s="53"/>
      <c r="AS58" s="53"/>
      <c r="AT58" s="45"/>
      <c r="AU58" s="74"/>
    </row>
    <row r="59" spans="4:47" x14ac:dyDescent="0.2">
      <c r="D59" s="62" t="s">
        <v>106</v>
      </c>
      <c r="E59" s="50">
        <v>109.49850077000001</v>
      </c>
      <c r="F59" s="50">
        <v>134.74420000000001</v>
      </c>
      <c r="G59" s="50">
        <v>326.03621874000004</v>
      </c>
      <c r="H59" s="50">
        <v>89.557200160000008</v>
      </c>
      <c r="I59" s="50">
        <v>158.831237522816</v>
      </c>
      <c r="J59" s="50">
        <v>161.61917</v>
      </c>
      <c r="K59" s="50">
        <v>147.26313804000003</v>
      </c>
      <c r="L59" s="50">
        <v>84.584298970000006</v>
      </c>
      <c r="M59" s="50">
        <v>90.430235029999992</v>
      </c>
      <c r="N59" s="50">
        <v>133.90601839628002</v>
      </c>
      <c r="O59" s="50">
        <v>80.877369589999986</v>
      </c>
      <c r="P59" s="50">
        <v>255.67315983999998</v>
      </c>
      <c r="Q59" s="50">
        <v>170.68985171</v>
      </c>
      <c r="R59" s="50">
        <v>200.72053581</v>
      </c>
      <c r="S59" s="50">
        <v>112.392634</v>
      </c>
      <c r="T59" s="50">
        <v>219.089236248064</v>
      </c>
      <c r="U59" s="50">
        <v>110.95099999999999</v>
      </c>
      <c r="V59" s="50">
        <v>179.24109349999998</v>
      </c>
      <c r="W59" s="50">
        <v>405.73575178249007</v>
      </c>
      <c r="X59" s="50">
        <v>295.07826490308003</v>
      </c>
      <c r="Y59" s="50">
        <v>135.402007076752</v>
      </c>
      <c r="Z59" s="50">
        <v>322.49732939968004</v>
      </c>
      <c r="AA59" s="50">
        <v>230.63132883999998</v>
      </c>
      <c r="AB59" s="50">
        <v>218.01682277999998</v>
      </c>
      <c r="AC59" s="50">
        <f t="shared" si="18"/>
        <v>2600.4458560500661</v>
      </c>
      <c r="AD59" s="50">
        <v>187.93287139817602</v>
      </c>
      <c r="AE59" s="52">
        <v>209.61504876999999</v>
      </c>
      <c r="AF59" s="52">
        <v>348.72679611000001</v>
      </c>
      <c r="AG59" s="52">
        <v>286.2</v>
      </c>
      <c r="AH59" s="52">
        <v>223.72106486999999</v>
      </c>
      <c r="AI59" s="52">
        <v>256.90531733999995</v>
      </c>
      <c r="AJ59" s="52">
        <v>79.900000000000006</v>
      </c>
      <c r="AK59" s="53"/>
      <c r="AL59" s="53"/>
      <c r="AM59" s="53"/>
      <c r="AN59" s="53"/>
      <c r="AO59" s="53"/>
      <c r="AP59" s="53"/>
      <c r="AQ59" s="53"/>
      <c r="AR59" s="53"/>
      <c r="AS59" s="53"/>
      <c r="AT59" s="45"/>
      <c r="AU59" s="74"/>
    </row>
    <row r="60" spans="4:47" x14ac:dyDescent="0.2">
      <c r="D60" s="62" t="s">
        <v>107</v>
      </c>
      <c r="E60" s="50">
        <v>0</v>
      </c>
      <c r="F60" s="50">
        <v>4.4874300000000007</v>
      </c>
      <c r="G60" s="50">
        <v>50.996096250000001</v>
      </c>
      <c r="H60" s="50">
        <v>0</v>
      </c>
      <c r="I60" s="50">
        <v>0</v>
      </c>
      <c r="J60" s="50">
        <v>8.9832400000000021</v>
      </c>
      <c r="K60" s="50">
        <v>0</v>
      </c>
      <c r="L60" s="50">
        <v>17.346471579999999</v>
      </c>
      <c r="M60" s="50">
        <v>0</v>
      </c>
      <c r="N60" s="50">
        <v>33.314697540000004</v>
      </c>
      <c r="O60" s="50">
        <v>0</v>
      </c>
      <c r="P60" s="50">
        <v>0</v>
      </c>
      <c r="Q60" s="50">
        <v>0</v>
      </c>
      <c r="R60" s="50">
        <v>86.829575749999989</v>
      </c>
      <c r="S60" s="50">
        <v>17.848778899999999</v>
      </c>
      <c r="T60" s="50">
        <v>0</v>
      </c>
      <c r="U60" s="50">
        <v>0</v>
      </c>
      <c r="V60" s="50">
        <v>35.767251170000002</v>
      </c>
      <c r="W60" s="50">
        <v>22.192260000000001</v>
      </c>
      <c r="X60" s="50">
        <v>28.912903</v>
      </c>
      <c r="Y60" s="50">
        <v>0</v>
      </c>
      <c r="Z60" s="50">
        <v>41.440132060000003</v>
      </c>
      <c r="AA60" s="50">
        <v>26.273361619999999</v>
      </c>
      <c r="AB60" s="50">
        <v>29.051857200000001</v>
      </c>
      <c r="AC60" s="50">
        <f t="shared" si="18"/>
        <v>288.31611969999994</v>
      </c>
      <c r="AD60" s="50">
        <v>0</v>
      </c>
      <c r="AE60" s="52">
        <v>34.338151470000007</v>
      </c>
      <c r="AF60" s="52">
        <v>23.380043180000001</v>
      </c>
      <c r="AG60" s="52">
        <v>55.048009929999992</v>
      </c>
      <c r="AH60" s="52">
        <v>0</v>
      </c>
      <c r="AI60" s="52">
        <v>64.785425169999996</v>
      </c>
      <c r="AJ60" s="52">
        <v>22.914767000000001</v>
      </c>
      <c r="AK60" s="53"/>
      <c r="AL60" s="53"/>
      <c r="AM60" s="53"/>
      <c r="AN60" s="53"/>
      <c r="AO60" s="53"/>
      <c r="AP60" s="53"/>
      <c r="AQ60" s="53"/>
      <c r="AR60" s="53"/>
      <c r="AS60" s="53"/>
      <c r="AT60" s="45"/>
      <c r="AU60" s="74"/>
    </row>
    <row r="61" spans="4:47" x14ac:dyDescent="0.2">
      <c r="D61" s="62" t="s">
        <v>108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0">
        <v>0</v>
      </c>
      <c r="AA61" s="50">
        <v>0</v>
      </c>
      <c r="AB61" s="50">
        <v>0</v>
      </c>
      <c r="AC61" s="50">
        <f t="shared" si="18"/>
        <v>0</v>
      </c>
      <c r="AD61" s="50">
        <v>0</v>
      </c>
      <c r="AE61" s="52">
        <v>0</v>
      </c>
      <c r="AF61" s="52">
        <v>0</v>
      </c>
      <c r="AG61" s="52">
        <v>0</v>
      </c>
      <c r="AH61" s="52">
        <v>0</v>
      </c>
      <c r="AI61" s="52"/>
      <c r="AJ61" s="52">
        <v>0</v>
      </c>
      <c r="AK61" s="53"/>
      <c r="AL61" s="53"/>
      <c r="AM61" s="53"/>
      <c r="AN61" s="53"/>
      <c r="AO61" s="53"/>
      <c r="AP61" s="53"/>
      <c r="AQ61" s="53"/>
      <c r="AR61" s="53"/>
      <c r="AS61" s="53"/>
      <c r="AT61" s="45"/>
      <c r="AU61" s="74"/>
    </row>
    <row r="62" spans="4:47" x14ac:dyDescent="0.2">
      <c r="D62" s="62" t="s">
        <v>109</v>
      </c>
      <c r="E62" s="50">
        <v>18.030443334047998</v>
      </c>
      <c r="F62" s="50">
        <v>15.9536774</v>
      </c>
      <c r="G62" s="50">
        <v>64.672697909999997</v>
      </c>
      <c r="H62" s="50">
        <v>0</v>
      </c>
      <c r="I62" s="50">
        <v>40.933914510000001</v>
      </c>
      <c r="J62" s="50">
        <v>32.357978629999998</v>
      </c>
      <c r="K62" s="50">
        <v>33.137070510000001</v>
      </c>
      <c r="L62" s="50">
        <v>37.938264000000004</v>
      </c>
      <c r="M62" s="50">
        <v>46.494648763972002</v>
      </c>
      <c r="N62" s="50">
        <v>31.679005165972807</v>
      </c>
      <c r="O62" s="50">
        <v>42.524689626617672</v>
      </c>
      <c r="P62" s="50">
        <v>31.239985412724192</v>
      </c>
      <c r="Q62" s="50">
        <v>31.83173</v>
      </c>
      <c r="R62" s="50">
        <v>24.43202733</v>
      </c>
      <c r="S62" s="50">
        <v>21.869546</v>
      </c>
      <c r="T62" s="50">
        <v>21.266812690000002</v>
      </c>
      <c r="U62" s="50">
        <v>33.945132000000001</v>
      </c>
      <c r="V62" s="50">
        <v>19.865395139999997</v>
      </c>
      <c r="W62" s="50">
        <v>24.552374479999997</v>
      </c>
      <c r="X62" s="50">
        <v>30.107679969999996</v>
      </c>
      <c r="Y62" s="50">
        <v>19.280172999999998</v>
      </c>
      <c r="Z62" s="50">
        <v>15.443092</v>
      </c>
      <c r="AA62" s="50">
        <v>21.070677170000003</v>
      </c>
      <c r="AB62" s="50">
        <v>17.153146320000001</v>
      </c>
      <c r="AC62" s="50">
        <f t="shared" si="18"/>
        <v>280.81778610000003</v>
      </c>
      <c r="AD62" s="50">
        <v>27.416462369999998</v>
      </c>
      <c r="AE62" s="52">
        <v>0</v>
      </c>
      <c r="AF62" s="52">
        <v>43.010939759999999</v>
      </c>
      <c r="AG62" s="52">
        <v>78.479425809999995</v>
      </c>
      <c r="AH62" s="52">
        <v>31.478118470000002</v>
      </c>
      <c r="AI62" s="52">
        <v>28.304490749999999</v>
      </c>
      <c r="AJ62" s="52">
        <v>32.825383000000002</v>
      </c>
      <c r="AK62" s="53"/>
      <c r="AL62" s="53"/>
      <c r="AM62" s="53"/>
      <c r="AN62" s="53"/>
      <c r="AO62" s="53"/>
      <c r="AP62" s="53"/>
      <c r="AQ62" s="53"/>
      <c r="AR62" s="53"/>
      <c r="AS62" s="53"/>
      <c r="AT62" s="45"/>
      <c r="AU62" s="74"/>
    </row>
    <row r="63" spans="4:47" x14ac:dyDescent="0.2">
      <c r="D63" s="62" t="s">
        <v>110</v>
      </c>
      <c r="E63" s="50">
        <v>376.805982054688</v>
      </c>
      <c r="F63" s="50">
        <v>17.359283399999999</v>
      </c>
      <c r="G63" s="50">
        <v>0</v>
      </c>
      <c r="H63" s="50">
        <v>0</v>
      </c>
      <c r="I63" s="50">
        <v>78.544334292479988</v>
      </c>
      <c r="J63" s="50">
        <v>62.832140000000003</v>
      </c>
      <c r="K63" s="50">
        <v>64.668819679999999</v>
      </c>
      <c r="L63" s="50">
        <v>0</v>
      </c>
      <c r="M63" s="50">
        <v>82.138517089360008</v>
      </c>
      <c r="N63" s="50">
        <v>49.852241240379961</v>
      </c>
      <c r="O63" s="50">
        <v>52.559320416931556</v>
      </c>
      <c r="P63" s="50">
        <v>42.571223491197152</v>
      </c>
      <c r="Q63" s="50">
        <v>30.84006213</v>
      </c>
      <c r="R63" s="50">
        <v>25.315299960000001</v>
      </c>
      <c r="S63" s="50">
        <v>30.689081480000002</v>
      </c>
      <c r="T63" s="50">
        <v>28.145805929999998</v>
      </c>
      <c r="U63" s="50">
        <v>30.873629000000001</v>
      </c>
      <c r="V63" s="50">
        <v>27.567848719999997</v>
      </c>
      <c r="W63" s="50">
        <v>25.438303590440004</v>
      </c>
      <c r="X63" s="50">
        <v>29.153153690000003</v>
      </c>
      <c r="Y63" s="50">
        <v>18.826565549999998</v>
      </c>
      <c r="Z63" s="50">
        <v>28.661999179999999</v>
      </c>
      <c r="AA63" s="50">
        <v>25.187424289999999</v>
      </c>
      <c r="AB63" s="50">
        <v>4.2446904699999992</v>
      </c>
      <c r="AC63" s="50">
        <f t="shared" si="18"/>
        <v>304.94386399044004</v>
      </c>
      <c r="AD63" s="50">
        <v>8.5009463400000005</v>
      </c>
      <c r="AE63" s="52">
        <v>7.4651800000000001E-3</v>
      </c>
      <c r="AF63" s="52">
        <v>11.992209660000002</v>
      </c>
      <c r="AG63" s="52">
        <v>19.176639340000001</v>
      </c>
      <c r="AH63" s="52">
        <v>11.496007219999999</v>
      </c>
      <c r="AI63" s="52">
        <v>8.687795959999999</v>
      </c>
      <c r="AJ63" s="52">
        <v>38.496267999999993</v>
      </c>
      <c r="AK63" s="53"/>
      <c r="AL63" s="53"/>
      <c r="AM63" s="53"/>
      <c r="AN63" s="53"/>
      <c r="AO63" s="53"/>
      <c r="AP63" s="53"/>
      <c r="AQ63" s="53"/>
      <c r="AR63" s="53"/>
      <c r="AS63" s="53"/>
      <c r="AT63" s="45"/>
      <c r="AU63" s="74"/>
    </row>
    <row r="64" spans="4:47" x14ac:dyDescent="0.2">
      <c r="D64" s="62" t="s">
        <v>111</v>
      </c>
      <c r="E64" s="50">
        <v>5.1952145200000004</v>
      </c>
      <c r="F64" s="50">
        <v>6.1331379500000001</v>
      </c>
      <c r="G64" s="50">
        <v>48.752040749134004</v>
      </c>
      <c r="H64" s="50">
        <v>2.8816177680002111E-3</v>
      </c>
      <c r="I64" s="50">
        <v>0.21715487999999999</v>
      </c>
      <c r="J64" s="50">
        <v>13.467359999999999</v>
      </c>
      <c r="K64" s="50">
        <v>12.915172620000002</v>
      </c>
      <c r="L64" s="50">
        <v>7.1977568400000012</v>
      </c>
      <c r="M64" s="50">
        <v>12.064826526572</v>
      </c>
      <c r="N64" s="50">
        <v>7.4174894921276993</v>
      </c>
      <c r="O64" s="50">
        <v>10.747620138568715</v>
      </c>
      <c r="P64" s="50">
        <v>5.2126351387619865</v>
      </c>
      <c r="Q64" s="50">
        <v>5.4429959999999999</v>
      </c>
      <c r="R64" s="50">
        <v>5.4083583600000003</v>
      </c>
      <c r="S64" s="50">
        <v>8.4179635600000005</v>
      </c>
      <c r="T64" s="50">
        <v>9.3163936300000003</v>
      </c>
      <c r="U64" s="50">
        <v>10.210690000000001</v>
      </c>
      <c r="V64" s="50">
        <v>6.5043119999999996</v>
      </c>
      <c r="W64" s="50">
        <v>6.3289419999999996</v>
      </c>
      <c r="X64" s="50">
        <v>10.579278</v>
      </c>
      <c r="Y64" s="50">
        <v>5.6341570000000001</v>
      </c>
      <c r="Z64" s="50">
        <v>6.4498190000000006</v>
      </c>
      <c r="AA64" s="50">
        <v>4.4358807100000002</v>
      </c>
      <c r="AB64" s="50">
        <v>3.8839773500000003</v>
      </c>
      <c r="AC64" s="50">
        <f t="shared" si="18"/>
        <v>82.612767610000006</v>
      </c>
      <c r="AD64" s="50">
        <v>4.5563221499999997</v>
      </c>
      <c r="AE64" s="52">
        <v>9.3702949800000006</v>
      </c>
      <c r="AF64" s="52">
        <v>0</v>
      </c>
      <c r="AG64" s="52">
        <v>6.3712770000000001</v>
      </c>
      <c r="AH64" s="52">
        <v>4.9722580000000001</v>
      </c>
      <c r="AI64" s="52">
        <v>3.9083797999999996</v>
      </c>
      <c r="AJ64" s="52">
        <v>4.2033500100000003</v>
      </c>
      <c r="AK64" s="53"/>
      <c r="AL64" s="53"/>
      <c r="AM64" s="53"/>
      <c r="AN64" s="53"/>
      <c r="AO64" s="53"/>
      <c r="AP64" s="53"/>
      <c r="AQ64" s="53"/>
      <c r="AR64" s="53"/>
      <c r="AS64" s="53"/>
      <c r="AT64" s="45"/>
      <c r="AU64" s="74"/>
    </row>
    <row r="65" spans="4:47" x14ac:dyDescent="0.2">
      <c r="D65" s="62" t="s">
        <v>112</v>
      </c>
      <c r="E65" s="50">
        <v>52.597760961496</v>
      </c>
      <c r="F65" s="50">
        <v>47.133527000000001</v>
      </c>
      <c r="G65" s="50">
        <v>21.6486424</v>
      </c>
      <c r="H65" s="50">
        <v>0</v>
      </c>
      <c r="I65" s="50">
        <v>37.93817499</v>
      </c>
      <c r="J65" s="50">
        <v>35.919759999999997</v>
      </c>
      <c r="K65" s="50">
        <v>13.950272199999999</v>
      </c>
      <c r="L65" s="50">
        <v>10.97122062</v>
      </c>
      <c r="M65" s="50">
        <v>22.619452926284001</v>
      </c>
      <c r="N65" s="50">
        <v>12.051937923295274</v>
      </c>
      <c r="O65" s="50">
        <v>13.572314456527648</v>
      </c>
      <c r="P65" s="50">
        <v>21.673329362021924</v>
      </c>
      <c r="Q65" s="50">
        <v>11.32568124</v>
      </c>
      <c r="R65" s="50">
        <v>12.485229289999999</v>
      </c>
      <c r="S65" s="50">
        <v>14.601693600000001</v>
      </c>
      <c r="T65" s="50">
        <v>0</v>
      </c>
      <c r="U65" s="50">
        <v>11.509077999999999</v>
      </c>
      <c r="V65" s="50">
        <v>0</v>
      </c>
      <c r="W65" s="50">
        <v>0</v>
      </c>
      <c r="X65" s="50">
        <v>0</v>
      </c>
      <c r="Y65" s="50">
        <v>0</v>
      </c>
      <c r="Z65" s="50">
        <v>0</v>
      </c>
      <c r="AA65" s="50">
        <v>20.232656979999998</v>
      </c>
      <c r="AB65" s="50">
        <v>3.7517540000000002E-2</v>
      </c>
      <c r="AC65" s="50">
        <f t="shared" si="18"/>
        <v>70.191856650000005</v>
      </c>
      <c r="AD65" s="50">
        <v>65.249232590000005</v>
      </c>
      <c r="AE65" s="52">
        <v>0</v>
      </c>
      <c r="AF65" s="52">
        <v>0.78394238999999988</v>
      </c>
      <c r="AG65" s="52">
        <v>0</v>
      </c>
      <c r="AH65" s="52">
        <v>0</v>
      </c>
      <c r="AI65" s="52">
        <v>24.975686870000001</v>
      </c>
      <c r="AJ65" s="52">
        <v>0</v>
      </c>
      <c r="AK65" s="53"/>
      <c r="AL65" s="53"/>
      <c r="AM65" s="53"/>
      <c r="AN65" s="53"/>
      <c r="AO65" s="53"/>
      <c r="AP65" s="53"/>
      <c r="AQ65" s="53"/>
      <c r="AR65" s="53"/>
      <c r="AS65" s="53"/>
      <c r="AT65" s="45"/>
      <c r="AU65" s="74"/>
    </row>
    <row r="66" spans="4:47" x14ac:dyDescent="0.2">
      <c r="D66" s="87" t="s">
        <v>113</v>
      </c>
      <c r="E66" s="50">
        <v>369.77178937206696</v>
      </c>
      <c r="F66" s="50">
        <v>36.433479229999996</v>
      </c>
      <c r="G66" s="50">
        <v>4.5968156200000001</v>
      </c>
      <c r="H66" s="50">
        <v>0</v>
      </c>
      <c r="I66" s="50">
        <v>143.018577628016</v>
      </c>
      <c r="J66" s="50">
        <v>157.66520786620396</v>
      </c>
      <c r="K66" s="50">
        <v>120.782593188002</v>
      </c>
      <c r="L66" s="50">
        <v>100.07866298714001</v>
      </c>
      <c r="M66" s="50">
        <v>135.60107420129702</v>
      </c>
      <c r="N66" s="50">
        <v>106.87724352161311</v>
      </c>
      <c r="O66" s="50">
        <v>83.385447395368729</v>
      </c>
      <c r="P66" s="50">
        <v>124.0358786075597</v>
      </c>
      <c r="Q66" s="50">
        <v>141.65995537031498</v>
      </c>
      <c r="R66" s="50">
        <v>211.29831601999999</v>
      </c>
      <c r="S66" s="50">
        <v>0.72625079999999997</v>
      </c>
      <c r="T66" s="50">
        <v>248.91348195243205</v>
      </c>
      <c r="U66" s="50">
        <v>183.33453032612005</v>
      </c>
      <c r="V66" s="50">
        <v>114.10783431999999</v>
      </c>
      <c r="W66" s="50">
        <v>381.10716230284095</v>
      </c>
      <c r="X66" s="50">
        <v>124.95676727999999</v>
      </c>
      <c r="Y66" s="50">
        <v>92.491563679999999</v>
      </c>
      <c r="Z66" s="50">
        <v>217.27620849289596</v>
      </c>
      <c r="AA66" s="50">
        <v>208.56644219999998</v>
      </c>
      <c r="AB66" s="50">
        <v>215.731298720132</v>
      </c>
      <c r="AC66" s="50">
        <f t="shared" si="18"/>
        <v>2140.1698114647356</v>
      </c>
      <c r="AD66" s="50">
        <v>228.148129945828</v>
      </c>
      <c r="AE66" s="52">
        <v>222.79967295952997</v>
      </c>
      <c r="AF66" s="52">
        <v>193.36187325173898</v>
      </c>
      <c r="AG66" s="52">
        <v>122.76209934000001</v>
      </c>
      <c r="AH66" s="52">
        <v>29.1789606</v>
      </c>
      <c r="AI66" s="52">
        <v>115.28264034936998</v>
      </c>
      <c r="AJ66" s="52">
        <v>286.92996975099197</v>
      </c>
      <c r="AK66" s="53"/>
      <c r="AL66" s="53"/>
      <c r="AM66" s="53"/>
      <c r="AN66" s="53"/>
      <c r="AO66" s="53"/>
      <c r="AP66" s="53"/>
      <c r="AQ66" s="53"/>
      <c r="AR66" s="53"/>
      <c r="AS66" s="53"/>
      <c r="AT66" s="45"/>
      <c r="AU66" s="74"/>
    </row>
    <row r="67" spans="4:47" x14ac:dyDescent="0.2">
      <c r="D67" s="62" t="s">
        <v>114</v>
      </c>
      <c r="E67" s="50">
        <v>550.54295399997602</v>
      </c>
      <c r="F67" s="50">
        <v>286.70114793000005</v>
      </c>
      <c r="G67" s="50">
        <v>324.49346708000002</v>
      </c>
      <c r="H67" s="50">
        <v>179.17819985</v>
      </c>
      <c r="I67" s="50">
        <v>431.49261550141597</v>
      </c>
      <c r="J67" s="50">
        <v>315.74723602665097</v>
      </c>
      <c r="K67" s="50">
        <v>305.47097678159997</v>
      </c>
      <c r="L67" s="50">
        <v>330.81161180999999</v>
      </c>
      <c r="M67" s="50">
        <v>341.96424018330003</v>
      </c>
      <c r="N67" s="50">
        <v>369.44499543440497</v>
      </c>
      <c r="O67" s="50">
        <v>295.81234839999996</v>
      </c>
      <c r="P67" s="50">
        <v>287.73607048187199</v>
      </c>
      <c r="Q67" s="50">
        <v>295.96055504047996</v>
      </c>
      <c r="R67" s="50">
        <v>272.13681314560006</v>
      </c>
      <c r="S67" s="50">
        <v>200.77726964000001</v>
      </c>
      <c r="T67" s="50">
        <v>72.715234980000005</v>
      </c>
      <c r="U67" s="50">
        <v>395.76058913662001</v>
      </c>
      <c r="V67" s="50">
        <v>143.98240096599599</v>
      </c>
      <c r="W67" s="50">
        <v>577.15000228792007</v>
      </c>
      <c r="X67" s="50">
        <v>299.25281218999999</v>
      </c>
      <c r="Y67" s="50">
        <v>387.38927792476301</v>
      </c>
      <c r="Z67" s="50">
        <v>95.636251359999989</v>
      </c>
      <c r="AA67" s="50">
        <v>102.05389954000002</v>
      </c>
      <c r="AB67" s="50">
        <v>42.819994909999998</v>
      </c>
      <c r="AC67" s="50">
        <f t="shared" si="18"/>
        <v>2885.6351011213796</v>
      </c>
      <c r="AD67" s="50">
        <v>91.363613749999999</v>
      </c>
      <c r="AE67" s="52">
        <v>0</v>
      </c>
      <c r="AF67" s="52">
        <v>306.86720973752</v>
      </c>
      <c r="AG67" s="52">
        <v>178.29543541999999</v>
      </c>
      <c r="AH67" s="52">
        <v>0</v>
      </c>
      <c r="AI67" s="52">
        <v>296.90720162999997</v>
      </c>
      <c r="AJ67" s="52">
        <v>0.55211761000000004</v>
      </c>
      <c r="AK67" s="53"/>
      <c r="AL67" s="53"/>
      <c r="AM67" s="53"/>
      <c r="AN67" s="53"/>
      <c r="AO67" s="53"/>
      <c r="AP67" s="53"/>
      <c r="AQ67" s="53"/>
      <c r="AR67" s="53"/>
      <c r="AS67" s="53"/>
      <c r="AT67" s="45"/>
      <c r="AU67" s="74"/>
    </row>
    <row r="68" spans="4:47" x14ac:dyDescent="0.2">
      <c r="D68" s="62" t="s">
        <v>115</v>
      </c>
      <c r="E68" s="50">
        <v>468.29270994430891</v>
      </c>
      <c r="F68" s="50">
        <v>0</v>
      </c>
      <c r="G68" s="50">
        <v>292.24568853999995</v>
      </c>
      <c r="H68" s="50">
        <v>0</v>
      </c>
      <c r="I68" s="50">
        <v>54.170756240000003</v>
      </c>
      <c r="J68" s="50">
        <v>121.33587</v>
      </c>
      <c r="K68" s="50">
        <v>170.62350895000006</v>
      </c>
      <c r="L68" s="50">
        <v>151.69555199999999</v>
      </c>
      <c r="M68" s="50">
        <v>132.76035099999999</v>
      </c>
      <c r="N68" s="50">
        <v>0</v>
      </c>
      <c r="O68" s="50">
        <v>0</v>
      </c>
      <c r="P68" s="50">
        <v>0</v>
      </c>
      <c r="Q68" s="50">
        <v>92.630369999999999</v>
      </c>
      <c r="R68" s="50">
        <v>152.96217506000002</v>
      </c>
      <c r="S68" s="50">
        <v>71.354165899999998</v>
      </c>
      <c r="T68" s="50">
        <v>62.898244360000007</v>
      </c>
      <c r="U68" s="50">
        <v>266.41523013725998</v>
      </c>
      <c r="V68" s="50">
        <v>0</v>
      </c>
      <c r="W68" s="50">
        <v>379.47367778593002</v>
      </c>
      <c r="X68" s="50">
        <v>104.68752126</v>
      </c>
      <c r="Y68" s="50">
        <v>0</v>
      </c>
      <c r="Z68" s="50">
        <v>157.60823938999999</v>
      </c>
      <c r="AA68" s="50">
        <v>91.151518590000009</v>
      </c>
      <c r="AB68" s="50">
        <v>61.790317430000002</v>
      </c>
      <c r="AC68" s="50">
        <f t="shared" si="18"/>
        <v>1440.9714599131901</v>
      </c>
      <c r="AD68" s="50">
        <v>0</v>
      </c>
      <c r="AE68" s="52">
        <v>97.116223720000008</v>
      </c>
      <c r="AF68" s="52">
        <v>243.89449292577598</v>
      </c>
      <c r="AG68" s="52">
        <v>142.15900789</v>
      </c>
      <c r="AH68" s="52">
        <v>0</v>
      </c>
      <c r="AI68" s="52">
        <v>224.26711419</v>
      </c>
      <c r="AJ68" s="52">
        <v>0</v>
      </c>
      <c r="AK68" s="53"/>
      <c r="AL68" s="53"/>
      <c r="AM68" s="53"/>
      <c r="AN68" s="53"/>
      <c r="AO68" s="53"/>
      <c r="AP68" s="53"/>
      <c r="AQ68" s="53"/>
      <c r="AR68" s="53"/>
      <c r="AS68" s="53"/>
      <c r="AT68" s="45"/>
      <c r="AU68" s="74"/>
    </row>
    <row r="69" spans="4:47" x14ac:dyDescent="0.2">
      <c r="D69" s="76" t="s">
        <v>116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>
        <v>0</v>
      </c>
      <c r="W69" s="50">
        <v>0</v>
      </c>
      <c r="X69" s="50">
        <v>0</v>
      </c>
      <c r="Y69" s="50">
        <v>0</v>
      </c>
      <c r="Z69" s="50">
        <v>0</v>
      </c>
      <c r="AA69" s="50">
        <v>0</v>
      </c>
      <c r="AB69" s="50">
        <v>0</v>
      </c>
      <c r="AC69" s="50">
        <f t="shared" si="18"/>
        <v>0</v>
      </c>
      <c r="AD69" s="50">
        <v>0</v>
      </c>
      <c r="AE69" s="52">
        <v>0</v>
      </c>
      <c r="AF69" s="52">
        <v>0</v>
      </c>
      <c r="AG69" s="52">
        <v>12.153757039999999</v>
      </c>
      <c r="AH69" s="52">
        <v>0</v>
      </c>
      <c r="AI69" s="52">
        <v>0</v>
      </c>
      <c r="AJ69" s="52">
        <v>0</v>
      </c>
      <c r="AK69" s="53"/>
      <c r="AL69" s="53"/>
      <c r="AM69" s="53"/>
      <c r="AN69" s="53"/>
      <c r="AO69" s="53"/>
      <c r="AP69" s="53"/>
      <c r="AQ69" s="53"/>
      <c r="AR69" s="53"/>
      <c r="AS69" s="53"/>
      <c r="AT69" s="45"/>
      <c r="AU69" s="74"/>
    </row>
    <row r="70" spans="4:47" x14ac:dyDescent="0.2">
      <c r="D70" s="76" t="s">
        <v>117</v>
      </c>
      <c r="E70" s="50">
        <v>192.93510885484997</v>
      </c>
      <c r="F70" s="50">
        <v>34.2125165</v>
      </c>
      <c r="G70" s="50">
        <v>195.86556995000001</v>
      </c>
      <c r="H70" s="50">
        <v>0</v>
      </c>
      <c r="I70" s="50">
        <v>141.35622953999999</v>
      </c>
      <c r="J70" s="50">
        <v>71.915259999999989</v>
      </c>
      <c r="K70" s="50">
        <v>126.58923874</v>
      </c>
      <c r="L70" s="50">
        <v>59.454812580000002</v>
      </c>
      <c r="M70" s="50">
        <v>123.67936282468601</v>
      </c>
      <c r="N70" s="50">
        <v>92.260511420749154</v>
      </c>
      <c r="O70" s="50">
        <v>99.802396840825722</v>
      </c>
      <c r="P70" s="50">
        <v>77.494697817504743</v>
      </c>
      <c r="Q70" s="50">
        <v>87.232914999999991</v>
      </c>
      <c r="R70" s="50">
        <v>53.515197129999997</v>
      </c>
      <c r="S70" s="50">
        <v>56.690097999999999</v>
      </c>
      <c r="T70" s="50">
        <v>43.201620449999993</v>
      </c>
      <c r="U70" s="50">
        <v>69.036308000000005</v>
      </c>
      <c r="V70" s="50">
        <v>0</v>
      </c>
      <c r="W70" s="50">
        <v>125.48625498376001</v>
      </c>
      <c r="X70" s="50">
        <v>88.917344370000009</v>
      </c>
      <c r="Y70" s="50">
        <v>72.985910827087011</v>
      </c>
      <c r="Z70" s="50">
        <v>55.128430000000002</v>
      </c>
      <c r="AA70" s="50">
        <v>62.271706130000005</v>
      </c>
      <c r="AB70" s="50">
        <v>37.636152609999996</v>
      </c>
      <c r="AC70" s="50">
        <f t="shared" si="18"/>
        <v>752.10193750084693</v>
      </c>
      <c r="AD70" s="50">
        <v>0</v>
      </c>
      <c r="AE70" s="52">
        <v>59.962763000000002</v>
      </c>
      <c r="AF70" s="52">
        <v>168.76516693000002</v>
      </c>
      <c r="AG70" s="52">
        <v>108.83390294</v>
      </c>
      <c r="AH70" s="52">
        <v>73.394880999999998</v>
      </c>
      <c r="AI70" s="52">
        <v>59.682951100000004</v>
      </c>
      <c r="AJ70" s="52">
        <v>68.629570999999999</v>
      </c>
      <c r="AK70" s="53"/>
      <c r="AL70" s="53"/>
      <c r="AM70" s="53"/>
      <c r="AN70" s="53"/>
      <c r="AO70" s="53"/>
      <c r="AP70" s="53"/>
      <c r="AQ70" s="53"/>
      <c r="AR70" s="53"/>
      <c r="AS70" s="53"/>
      <c r="AT70" s="45"/>
      <c r="AU70" s="74"/>
    </row>
    <row r="71" spans="4:47" x14ac:dyDescent="0.2">
      <c r="D71" s="76" t="s">
        <v>118</v>
      </c>
      <c r="E71" s="50">
        <v>228.75557452608001</v>
      </c>
      <c r="F71" s="50">
        <v>30.602295300000002</v>
      </c>
      <c r="G71" s="50">
        <v>0</v>
      </c>
      <c r="H71" s="50">
        <v>0</v>
      </c>
      <c r="I71" s="50">
        <v>51.056088330000001</v>
      </c>
      <c r="J71" s="50">
        <v>189.54987884000002</v>
      </c>
      <c r="K71" s="50">
        <v>192.53637857000001</v>
      </c>
      <c r="L71" s="50">
        <v>241.98945240999998</v>
      </c>
      <c r="M71" s="50">
        <v>148.82351491</v>
      </c>
      <c r="N71" s="50">
        <v>107.51170328904956</v>
      </c>
      <c r="O71" s="50">
        <v>108.7040143120434</v>
      </c>
      <c r="P71" s="50">
        <v>88.316985700078376</v>
      </c>
      <c r="Q71" s="50">
        <v>68.994280199999992</v>
      </c>
      <c r="R71" s="50">
        <v>54.095907120000007</v>
      </c>
      <c r="S71" s="50">
        <v>57.616793000000001</v>
      </c>
      <c r="T71" s="50">
        <v>52.090533380000004</v>
      </c>
      <c r="U71" s="50">
        <v>61.164481000000002</v>
      </c>
      <c r="V71" s="50">
        <v>63.193637029999998</v>
      </c>
      <c r="W71" s="50">
        <v>66.171946614510006</v>
      </c>
      <c r="X71" s="50">
        <v>84.669892840000003</v>
      </c>
      <c r="Y71" s="50">
        <v>46.09014206298</v>
      </c>
      <c r="Z71" s="50">
        <v>5.615585069999999</v>
      </c>
      <c r="AA71" s="50">
        <v>7.3445101199999998</v>
      </c>
      <c r="AB71" s="50">
        <v>6.1802450000000002E-2</v>
      </c>
      <c r="AC71" s="50">
        <f t="shared" si="18"/>
        <v>567.10951088748993</v>
      </c>
      <c r="AD71" s="50">
        <v>4.2213145000000001</v>
      </c>
      <c r="AE71" s="52">
        <v>22.376763440793997</v>
      </c>
      <c r="AF71" s="52">
        <v>9.3535742400000004</v>
      </c>
      <c r="AG71" s="52">
        <v>5.1199150000000006E-2</v>
      </c>
      <c r="AH71" s="52">
        <v>10.396397869999999</v>
      </c>
      <c r="AI71" s="52">
        <v>8.9348895900000009</v>
      </c>
      <c r="AJ71" s="52">
        <v>10.01403528</v>
      </c>
      <c r="AK71" s="53"/>
      <c r="AL71" s="53"/>
      <c r="AM71" s="53"/>
      <c r="AN71" s="53"/>
      <c r="AO71" s="53"/>
      <c r="AP71" s="53"/>
      <c r="AQ71" s="53"/>
      <c r="AR71" s="53"/>
      <c r="AS71" s="53"/>
      <c r="AT71" s="45"/>
      <c r="AU71" s="74"/>
    </row>
    <row r="72" spans="4:47" x14ac:dyDescent="0.2">
      <c r="D72" s="76" t="s">
        <v>119</v>
      </c>
      <c r="E72" s="50">
        <v>17.181046918111999</v>
      </c>
      <c r="F72" s="50">
        <v>25.5359616</v>
      </c>
      <c r="G72" s="50">
        <v>69.47144999999999</v>
      </c>
      <c r="H72" s="50">
        <v>0</v>
      </c>
      <c r="I72" s="50">
        <v>37.008374099999997</v>
      </c>
      <c r="J72" s="50">
        <v>58.391059999999996</v>
      </c>
      <c r="K72" s="50">
        <v>43.853789239999998</v>
      </c>
      <c r="L72" s="50">
        <v>5.7469683900000001</v>
      </c>
      <c r="M72" s="50">
        <v>70.269967969077001</v>
      </c>
      <c r="N72" s="50">
        <v>52.239435093766254</v>
      </c>
      <c r="O72" s="50">
        <v>36.610222456589874</v>
      </c>
      <c r="P72" s="50">
        <v>46.375394554613749</v>
      </c>
      <c r="Q72" s="50">
        <v>45.971018600000001</v>
      </c>
      <c r="R72" s="50">
        <v>34.62561668</v>
      </c>
      <c r="S72" s="50">
        <v>35.681316700000004</v>
      </c>
      <c r="T72" s="50">
        <v>18.796314710000001</v>
      </c>
      <c r="U72" s="50">
        <v>23.615466999999999</v>
      </c>
      <c r="V72" s="50">
        <v>34.379990960000001</v>
      </c>
      <c r="W72" s="50">
        <v>37.236703580060002</v>
      </c>
      <c r="X72" s="50">
        <v>51.85228223</v>
      </c>
      <c r="Y72" s="50">
        <v>31.846490530000004</v>
      </c>
      <c r="Z72" s="50">
        <v>33.653449170000002</v>
      </c>
      <c r="AA72" s="50">
        <v>29.338456109999999</v>
      </c>
      <c r="AB72" s="50">
        <v>22.28739762</v>
      </c>
      <c r="AC72" s="50">
        <f t="shared" si="18"/>
        <v>399.28450389005997</v>
      </c>
      <c r="AD72" s="50">
        <v>0</v>
      </c>
      <c r="AE72" s="52">
        <v>37.59751361</v>
      </c>
      <c r="AF72" s="52">
        <v>113.61280473000001</v>
      </c>
      <c r="AG72" s="52">
        <v>59.961015520000004</v>
      </c>
      <c r="AH72" s="52">
        <v>56.902907599999999</v>
      </c>
      <c r="AI72" s="52">
        <v>40.545035009999999</v>
      </c>
      <c r="AJ72" s="52">
        <v>0.73005165999999999</v>
      </c>
      <c r="AK72" s="53"/>
      <c r="AL72" s="53"/>
      <c r="AM72" s="53"/>
      <c r="AN72" s="53"/>
      <c r="AO72" s="53"/>
      <c r="AP72" s="53"/>
      <c r="AQ72" s="53"/>
      <c r="AR72" s="53"/>
      <c r="AS72" s="53"/>
      <c r="AT72" s="45"/>
      <c r="AU72" s="74"/>
    </row>
    <row r="73" spans="4:47" x14ac:dyDescent="0.2">
      <c r="D73" s="76" t="s">
        <v>120</v>
      </c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>
        <v>25.626795089999998</v>
      </c>
      <c r="W73" s="50">
        <v>60.244830909999997</v>
      </c>
      <c r="X73" s="50">
        <v>1.3183900000000002</v>
      </c>
      <c r="Y73" s="50">
        <v>53.695878</v>
      </c>
      <c r="Z73" s="50">
        <v>44.383795329999998</v>
      </c>
      <c r="AA73" s="50">
        <v>23.740365669999999</v>
      </c>
      <c r="AB73" s="50">
        <v>0</v>
      </c>
      <c r="AC73" s="50">
        <f t="shared" si="18"/>
        <v>209.01005499999997</v>
      </c>
      <c r="AD73" s="50">
        <v>2.7233496399999999</v>
      </c>
      <c r="AE73" s="52">
        <v>0</v>
      </c>
      <c r="AF73" s="52">
        <v>212.41341441</v>
      </c>
      <c r="AG73" s="52">
        <v>57.065464849999998</v>
      </c>
      <c r="AH73" s="52">
        <v>8.9604633799999984</v>
      </c>
      <c r="AI73" s="52">
        <v>66.412944119999992</v>
      </c>
      <c r="AJ73" s="52">
        <v>30.155656799999999</v>
      </c>
      <c r="AK73" s="53"/>
      <c r="AL73" s="53"/>
      <c r="AM73" s="53"/>
      <c r="AN73" s="53"/>
      <c r="AO73" s="53"/>
      <c r="AP73" s="53"/>
      <c r="AQ73" s="53"/>
      <c r="AR73" s="53"/>
      <c r="AS73" s="53"/>
      <c r="AT73" s="45"/>
      <c r="AU73" s="74"/>
    </row>
    <row r="74" spans="4:47" x14ac:dyDescent="0.2">
      <c r="D74" s="76" t="s">
        <v>121</v>
      </c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>
        <v>0.89312990000000003</v>
      </c>
      <c r="Y74" s="50">
        <v>32.6773679</v>
      </c>
      <c r="Z74" s="50">
        <v>52.609899759999998</v>
      </c>
      <c r="AA74" s="50">
        <v>59.521182469999999</v>
      </c>
      <c r="AB74" s="50">
        <v>0.20448554000000002</v>
      </c>
      <c r="AC74" s="50">
        <f t="shared" si="18"/>
        <v>145.90606557000001</v>
      </c>
      <c r="AD74" s="50">
        <v>45.715189340000002</v>
      </c>
      <c r="AE74" s="52">
        <v>38.416605319999995</v>
      </c>
      <c r="AF74" s="52">
        <v>99.215336440000002</v>
      </c>
      <c r="AG74" s="52">
        <v>124.46476892</v>
      </c>
      <c r="AH74" s="52">
        <v>76.853690249999985</v>
      </c>
      <c r="AI74" s="52">
        <v>15.586930000000001</v>
      </c>
      <c r="AJ74" s="52">
        <v>116.15776595</v>
      </c>
      <c r="AK74" s="53"/>
      <c r="AL74" s="53"/>
      <c r="AM74" s="53"/>
      <c r="AN74" s="53"/>
      <c r="AO74" s="53"/>
      <c r="AP74" s="53"/>
      <c r="AQ74" s="53"/>
      <c r="AR74" s="53"/>
      <c r="AS74" s="53"/>
      <c r="AT74" s="45"/>
      <c r="AU74" s="74"/>
    </row>
    <row r="75" spans="4:47" x14ac:dyDescent="0.2">
      <c r="D75" s="76" t="s">
        <v>122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>
        <v>0</v>
      </c>
      <c r="W75" s="50">
        <v>0</v>
      </c>
      <c r="X75" s="50">
        <v>0</v>
      </c>
      <c r="Y75" s="50">
        <v>0</v>
      </c>
      <c r="Z75" s="50">
        <v>0</v>
      </c>
      <c r="AA75" s="50">
        <v>0</v>
      </c>
      <c r="AB75" s="50">
        <v>0</v>
      </c>
      <c r="AC75" s="50">
        <f t="shared" si="18"/>
        <v>0</v>
      </c>
      <c r="AD75" s="50">
        <v>0</v>
      </c>
      <c r="AE75" s="52"/>
      <c r="AF75" s="52">
        <v>0</v>
      </c>
      <c r="AG75" s="52">
        <v>0</v>
      </c>
      <c r="AH75" s="52"/>
      <c r="AI75" s="52"/>
      <c r="AJ75" s="52"/>
      <c r="AK75" s="53"/>
      <c r="AL75" s="53"/>
      <c r="AM75" s="53"/>
      <c r="AN75" s="53"/>
      <c r="AO75" s="53"/>
      <c r="AP75" s="53"/>
      <c r="AQ75" s="53"/>
      <c r="AR75" s="53"/>
      <c r="AS75" s="53"/>
      <c r="AT75" s="45"/>
      <c r="AU75" s="74"/>
    </row>
    <row r="76" spans="4:47" x14ac:dyDescent="0.2">
      <c r="D76" s="86" t="s">
        <v>123</v>
      </c>
      <c r="E76" s="88">
        <f t="shared" ref="E76:AJ76" si="19">SUM(E56:E75)</f>
        <v>8815.6193550037697</v>
      </c>
      <c r="F76" s="88">
        <f t="shared" si="19"/>
        <v>1508.1432219100002</v>
      </c>
      <c r="G76" s="88">
        <f t="shared" si="19"/>
        <v>2484.8999797799997</v>
      </c>
      <c r="H76" s="88">
        <f t="shared" si="19"/>
        <v>516.33903253776793</v>
      </c>
      <c r="I76" s="88">
        <f t="shared" si="19"/>
        <v>2373.4417917241813</v>
      </c>
      <c r="J76" s="88">
        <f t="shared" si="19"/>
        <v>2078.7417601935599</v>
      </c>
      <c r="K76" s="88">
        <f t="shared" si="19"/>
        <v>2329.1527364412855</v>
      </c>
      <c r="L76" s="88">
        <f t="shared" si="19"/>
        <v>1869.7740346036996</v>
      </c>
      <c r="M76" s="88">
        <f t="shared" si="19"/>
        <v>2652.6724369247922</v>
      </c>
      <c r="N76" s="88">
        <f t="shared" si="19"/>
        <v>2289.0247046566515</v>
      </c>
      <c r="O76" s="88">
        <f t="shared" si="19"/>
        <v>1533.7109997230675</v>
      </c>
      <c r="P76" s="88">
        <f t="shared" si="19"/>
        <v>2244.378026655535</v>
      </c>
      <c r="Q76" s="72">
        <f t="shared" si="19"/>
        <v>2090.3872311900004</v>
      </c>
      <c r="R76" s="72">
        <f t="shared" si="19"/>
        <v>2114.0499304986997</v>
      </c>
      <c r="S76" s="72">
        <f t="shared" si="19"/>
        <v>1246.26761078</v>
      </c>
      <c r="T76" s="72">
        <f t="shared" si="19"/>
        <v>1505.6405480400003</v>
      </c>
      <c r="U76" s="72">
        <f t="shared" si="19"/>
        <v>2156.2083794552864</v>
      </c>
      <c r="V76" s="72">
        <f t="shared" si="19"/>
        <v>1610.4194158500002</v>
      </c>
      <c r="W76" s="72">
        <f t="shared" si="19"/>
        <v>3659.6776227162995</v>
      </c>
      <c r="X76" s="72">
        <f t="shared" si="19"/>
        <v>1827.3744203058818</v>
      </c>
      <c r="Y76" s="72">
        <f t="shared" si="19"/>
        <v>2043.6148595963191</v>
      </c>
      <c r="Z76" s="72">
        <f t="shared" si="19"/>
        <v>2208.216559618892</v>
      </c>
      <c r="AA76" s="72">
        <f t="shared" si="19"/>
        <v>2672.1700194598789</v>
      </c>
      <c r="AB76" s="72">
        <f t="shared" si="19"/>
        <v>1522.4491021159699</v>
      </c>
      <c r="AC76" s="72">
        <f t="shared" si="19"/>
        <v>24656.475699627234</v>
      </c>
      <c r="AD76" s="72">
        <f t="shared" si="19"/>
        <v>1519.1640098257881</v>
      </c>
      <c r="AE76" s="72">
        <f t="shared" si="19"/>
        <v>1641.135440931464</v>
      </c>
      <c r="AF76" s="72">
        <f t="shared" si="19"/>
        <v>3338.243107065769</v>
      </c>
      <c r="AG76" s="72">
        <f t="shared" si="19"/>
        <v>2070.0645802231784</v>
      </c>
      <c r="AH76" s="72">
        <f t="shared" si="19"/>
        <v>1624.5657371271907</v>
      </c>
      <c r="AI76" s="72">
        <f t="shared" si="19"/>
        <v>2745.3205247695932</v>
      </c>
      <c r="AJ76" s="72">
        <f t="shared" si="19"/>
        <v>1136.7008412901919</v>
      </c>
      <c r="AK76" s="53"/>
      <c r="AL76" s="59"/>
      <c r="AM76" s="59"/>
      <c r="AN76" s="59"/>
      <c r="AO76" s="59"/>
      <c r="AP76" s="59"/>
      <c r="AQ76" s="59"/>
      <c r="AR76" s="59"/>
      <c r="AS76" s="53"/>
      <c r="AT76" s="60">
        <f>+Q76/O137-AT89-AT90</f>
        <v>41.680919428261532</v>
      </c>
      <c r="AU76" s="74"/>
    </row>
    <row r="77" spans="4:47" x14ac:dyDescent="0.2">
      <c r="D77" s="46" t="s">
        <v>124</v>
      </c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2"/>
      <c r="AF77" s="52"/>
      <c r="AG77" s="52"/>
      <c r="AH77" s="52"/>
      <c r="AI77" s="52"/>
      <c r="AJ77" s="52"/>
      <c r="AK77" s="53"/>
      <c r="AL77" s="53"/>
      <c r="AM77" s="53"/>
      <c r="AN77" s="53"/>
      <c r="AO77" s="53"/>
      <c r="AP77" s="53"/>
      <c r="AQ77" s="53"/>
      <c r="AR77" s="53"/>
      <c r="AS77" s="53"/>
      <c r="AT77" s="45"/>
      <c r="AU77" s="74"/>
    </row>
    <row r="78" spans="4:47" x14ac:dyDescent="0.2">
      <c r="D78" s="89" t="s">
        <v>35</v>
      </c>
      <c r="E78" s="50">
        <v>0</v>
      </c>
      <c r="F78" s="50">
        <v>11.288129949999998</v>
      </c>
      <c r="G78" s="50">
        <v>9.2409193599999995</v>
      </c>
      <c r="H78" s="50">
        <v>8.0808403700000007</v>
      </c>
      <c r="I78" s="50">
        <v>13.01785814</v>
      </c>
      <c r="J78" s="50">
        <v>10.055558250000001</v>
      </c>
      <c r="K78" s="50">
        <v>10.466589109999999</v>
      </c>
      <c r="L78" s="50">
        <v>7.4636954299999996</v>
      </c>
      <c r="M78" s="50">
        <v>6.5152915199999999</v>
      </c>
      <c r="N78" s="50">
        <v>7.7491197000000005</v>
      </c>
      <c r="O78" s="50">
        <v>15.834687800000001</v>
      </c>
      <c r="P78" s="50">
        <v>9.13612702</v>
      </c>
      <c r="Q78" s="50">
        <v>9.4494872399999998</v>
      </c>
      <c r="R78" s="50">
        <v>0</v>
      </c>
      <c r="S78" s="50">
        <v>8.579887359999999</v>
      </c>
      <c r="T78" s="50">
        <v>41.626243390000006</v>
      </c>
      <c r="U78" s="50">
        <v>0</v>
      </c>
      <c r="V78" s="50">
        <v>0</v>
      </c>
      <c r="W78" s="50">
        <v>6.2676639999999999</v>
      </c>
      <c r="X78" s="50">
        <v>13.869329779999999</v>
      </c>
      <c r="Y78" s="50">
        <v>0</v>
      </c>
      <c r="Z78" s="50">
        <v>7.7678986299999995</v>
      </c>
      <c r="AA78" s="50">
        <v>8.5354068699999992</v>
      </c>
      <c r="AB78" s="50">
        <v>0</v>
      </c>
      <c r="AC78" s="50">
        <f t="shared" ref="AC78:AC82" si="20">SUM(Q78:AB78)</f>
        <v>96.095917270000015</v>
      </c>
      <c r="AD78" s="50">
        <v>0</v>
      </c>
      <c r="AE78" s="52">
        <v>7.7011486100000006</v>
      </c>
      <c r="AF78" s="52">
        <v>7.9492493499999997</v>
      </c>
      <c r="AG78" s="52">
        <v>7.8057745599999997</v>
      </c>
      <c r="AH78" s="52">
        <v>0</v>
      </c>
      <c r="AI78" s="52">
        <v>7.4294045099999995</v>
      </c>
      <c r="AJ78" s="52">
        <v>7.6323164999999999</v>
      </c>
      <c r="AK78" s="53"/>
      <c r="AL78" s="53"/>
      <c r="AM78" s="53"/>
      <c r="AN78" s="53"/>
      <c r="AO78" s="53"/>
      <c r="AP78" s="53"/>
      <c r="AQ78" s="53"/>
      <c r="AR78" s="53"/>
      <c r="AS78" s="53"/>
      <c r="AT78" s="45">
        <f>+O78/$O$137</f>
        <v>0.34852622444672987</v>
      </c>
      <c r="AU78" s="74"/>
    </row>
    <row r="79" spans="4:47" x14ac:dyDescent="0.2">
      <c r="D79" s="89" t="s">
        <v>125</v>
      </c>
      <c r="E79" s="50">
        <v>0</v>
      </c>
      <c r="F79" s="50">
        <v>3.7627099799999999</v>
      </c>
      <c r="G79" s="50">
        <v>3.0803064500000001</v>
      </c>
      <c r="H79" s="50">
        <v>0</v>
      </c>
      <c r="I79" s="50">
        <v>0</v>
      </c>
      <c r="J79" s="50">
        <v>2.5830398999999997</v>
      </c>
      <c r="K79" s="50">
        <v>5.18151194</v>
      </c>
      <c r="L79" s="50">
        <v>2.5143164300000005</v>
      </c>
      <c r="M79" s="50">
        <v>7.9810523399999997</v>
      </c>
      <c r="N79" s="50">
        <v>3.1278291</v>
      </c>
      <c r="O79" s="50">
        <v>2.8599624499999998</v>
      </c>
      <c r="P79" s="50">
        <v>2.6098008100000003</v>
      </c>
      <c r="Q79" s="50">
        <v>2.7316312699999998</v>
      </c>
      <c r="R79" s="50">
        <v>0</v>
      </c>
      <c r="S79" s="50">
        <v>2.34867677</v>
      </c>
      <c r="T79" s="50">
        <v>2.2636407599999999</v>
      </c>
      <c r="U79" s="50">
        <v>0</v>
      </c>
      <c r="V79" s="50">
        <v>0</v>
      </c>
      <c r="W79" s="50">
        <v>1.9159199099999999</v>
      </c>
      <c r="X79" s="50">
        <v>4.2922322499999996</v>
      </c>
      <c r="Y79" s="50">
        <v>0</v>
      </c>
      <c r="Z79" s="50">
        <v>2.62416714</v>
      </c>
      <c r="AA79" s="50">
        <v>5.2182457699999993</v>
      </c>
      <c r="AB79" s="50">
        <v>2.5670495400000002</v>
      </c>
      <c r="AC79" s="50">
        <f t="shared" si="20"/>
        <v>23.961563409999997</v>
      </c>
      <c r="AD79" s="50">
        <v>2.6109615499999999</v>
      </c>
      <c r="AE79" s="52">
        <v>0</v>
      </c>
      <c r="AF79" s="52">
        <v>2.6019248500000001</v>
      </c>
      <c r="AG79" s="52">
        <v>2.5475779700000003</v>
      </c>
      <c r="AH79" s="52">
        <v>0</v>
      </c>
      <c r="AI79" s="52">
        <v>2.47646817</v>
      </c>
      <c r="AJ79" s="52">
        <v>2.5058559599999999</v>
      </c>
      <c r="AK79" s="53"/>
      <c r="AL79" s="53"/>
      <c r="AM79" s="53"/>
      <c r="AN79" s="53"/>
      <c r="AO79" s="53"/>
      <c r="AP79" s="53"/>
      <c r="AQ79" s="53"/>
      <c r="AR79" s="53"/>
      <c r="AS79" s="53"/>
      <c r="AT79" s="45">
        <f>+O79/$O$137</f>
        <v>6.2948630711741546E-2</v>
      </c>
      <c r="AU79" s="74"/>
    </row>
    <row r="80" spans="4:47" x14ac:dyDescent="0.2">
      <c r="D80" s="89" t="s">
        <v>126</v>
      </c>
      <c r="E80" s="50">
        <v>0</v>
      </c>
      <c r="F80" s="50">
        <v>8.7153960000000001</v>
      </c>
      <c r="G80" s="50">
        <v>10.803190000000001</v>
      </c>
      <c r="H80" s="50">
        <v>4.2023140000000003</v>
      </c>
      <c r="I80" s="50">
        <v>4.2132340000000008</v>
      </c>
      <c r="J80" s="50">
        <v>4.2432449999999999</v>
      </c>
      <c r="K80" s="50">
        <v>4.2085710000000001</v>
      </c>
      <c r="L80" s="50">
        <v>4.3639599999999996</v>
      </c>
      <c r="M80" s="50">
        <v>4.3524089999999998</v>
      </c>
      <c r="N80" s="50">
        <v>4.1741710000000003</v>
      </c>
      <c r="O80" s="50">
        <v>5.6637978633000001</v>
      </c>
      <c r="P80" s="50">
        <v>4.3135219999999999</v>
      </c>
      <c r="Q80" s="50">
        <v>4.3412160000000002</v>
      </c>
      <c r="R80" s="50">
        <v>0</v>
      </c>
      <c r="S80" s="50">
        <v>4.2510770000000004</v>
      </c>
      <c r="T80" s="50">
        <v>12.69656</v>
      </c>
      <c r="U80" s="50">
        <v>0</v>
      </c>
      <c r="V80" s="50">
        <v>0</v>
      </c>
      <c r="W80" s="50">
        <v>4.2513969999999999</v>
      </c>
      <c r="X80" s="50">
        <v>8.546031000000001</v>
      </c>
      <c r="Y80" s="50">
        <v>0</v>
      </c>
      <c r="Z80" s="50">
        <v>4.3733909999999998</v>
      </c>
      <c r="AA80" s="50">
        <v>4.0689320000000002</v>
      </c>
      <c r="AB80" s="50">
        <v>4.0899720000000004</v>
      </c>
      <c r="AC80" s="50">
        <f t="shared" si="20"/>
        <v>46.618576000000004</v>
      </c>
      <c r="AD80" s="50">
        <v>3.937557</v>
      </c>
      <c r="AE80" s="52">
        <v>0</v>
      </c>
      <c r="AF80" s="52">
        <v>3.7774769999999998</v>
      </c>
      <c r="AG80" s="52">
        <v>4.4168199999999995</v>
      </c>
      <c r="AH80" s="52">
        <v>3.9792979900000001</v>
      </c>
      <c r="AI80" s="52">
        <v>4.360595</v>
      </c>
      <c r="AJ80" s="52">
        <v>4.3212520000000003</v>
      </c>
      <c r="AK80" s="53"/>
      <c r="AL80" s="53"/>
      <c r="AM80" s="53"/>
      <c r="AN80" s="53"/>
      <c r="AO80" s="53"/>
      <c r="AP80" s="53"/>
      <c r="AQ80" s="53"/>
      <c r="AR80" s="53"/>
      <c r="AS80" s="53"/>
      <c r="AT80" s="45">
        <f>+O80/$O$137</f>
        <v>0.12466188852333449</v>
      </c>
      <c r="AU80" s="74"/>
    </row>
    <row r="81" spans="4:48" x14ac:dyDescent="0.2">
      <c r="D81" s="89" t="s">
        <v>127</v>
      </c>
      <c r="E81" s="50">
        <v>0</v>
      </c>
      <c r="F81" s="50">
        <v>0.59458137999999994</v>
      </c>
      <c r="G81" s="50">
        <v>0</v>
      </c>
      <c r="H81" s="50">
        <v>0.59434137999999992</v>
      </c>
      <c r="I81" s="50">
        <v>0.59446137999999993</v>
      </c>
      <c r="J81" s="50">
        <v>0.29723068999999996</v>
      </c>
      <c r="K81" s="50">
        <v>0</v>
      </c>
      <c r="L81" s="50">
        <v>0.46675909999999998</v>
      </c>
      <c r="M81" s="50">
        <v>1.4002772999999999</v>
      </c>
      <c r="N81" s="50">
        <v>0</v>
      </c>
      <c r="O81" s="50">
        <v>0.46675909999999998</v>
      </c>
      <c r="P81" s="50">
        <v>0.69415909999999992</v>
      </c>
      <c r="Q81" s="50">
        <v>0.46675909999999998</v>
      </c>
      <c r="R81" s="50">
        <v>0</v>
      </c>
      <c r="S81" s="50">
        <v>0.93351819999999996</v>
      </c>
      <c r="T81" s="50">
        <v>0.46675909999999998</v>
      </c>
      <c r="U81" s="50">
        <v>0</v>
      </c>
      <c r="V81" s="50">
        <v>0.93351819999999996</v>
      </c>
      <c r="W81" s="50">
        <v>0</v>
      </c>
      <c r="X81" s="50">
        <v>0.46675909999999998</v>
      </c>
      <c r="Y81" s="50">
        <v>0.93351819999999996</v>
      </c>
      <c r="Z81" s="50">
        <v>0.46675900000000003</v>
      </c>
      <c r="AA81" s="50">
        <v>0</v>
      </c>
      <c r="AB81" s="50">
        <v>0.93351800000000007</v>
      </c>
      <c r="AC81" s="50">
        <f t="shared" si="20"/>
        <v>5.6011088999999998</v>
      </c>
      <c r="AD81" s="50">
        <v>0</v>
      </c>
      <c r="AE81" s="52">
        <v>0.69415899999999997</v>
      </c>
      <c r="AF81" s="52">
        <v>0.93351800000000007</v>
      </c>
      <c r="AG81" s="52">
        <v>0</v>
      </c>
      <c r="AH81" s="52">
        <v>0.93351800000000007</v>
      </c>
      <c r="AI81" s="52">
        <v>0.48959999999999998</v>
      </c>
      <c r="AJ81" s="52">
        <v>0.19676479999999999</v>
      </c>
      <c r="AK81" s="53"/>
      <c r="AL81" s="53"/>
      <c r="AM81" s="53"/>
      <c r="AN81" s="53"/>
      <c r="AO81" s="53"/>
      <c r="AP81" s="53"/>
      <c r="AQ81" s="53"/>
      <c r="AR81" s="53"/>
      <c r="AS81" s="53"/>
      <c r="AT81" s="45">
        <f>+O81/$O$137</f>
        <v>1.0273507687922562E-2</v>
      </c>
      <c r="AU81" s="74"/>
    </row>
    <row r="82" spans="4:48" x14ac:dyDescent="0.2">
      <c r="D82" s="89" t="s">
        <v>38</v>
      </c>
      <c r="E82" s="50">
        <v>0</v>
      </c>
      <c r="F82" s="50">
        <v>8.8718299999999992</v>
      </c>
      <c r="G82" s="50">
        <v>0</v>
      </c>
      <c r="H82" s="50">
        <v>8.8718299999999992</v>
      </c>
      <c r="I82" s="50">
        <v>8.8718299999999992</v>
      </c>
      <c r="J82" s="50">
        <v>4.4359149999999996</v>
      </c>
      <c r="K82" s="50">
        <v>0</v>
      </c>
      <c r="L82" s="50">
        <v>4.4359149999999996</v>
      </c>
      <c r="M82" s="50">
        <v>13.307745000000001</v>
      </c>
      <c r="N82" s="50">
        <v>0</v>
      </c>
      <c r="O82" s="50">
        <v>4.4359149999999996</v>
      </c>
      <c r="P82" s="50">
        <v>0</v>
      </c>
      <c r="Q82" s="50">
        <v>8.8718299999999992</v>
      </c>
      <c r="R82" s="50">
        <v>0</v>
      </c>
      <c r="S82" s="50">
        <v>8.8718299999999992</v>
      </c>
      <c r="T82" s="50">
        <v>4.4359149999999996</v>
      </c>
      <c r="U82" s="50">
        <v>0</v>
      </c>
      <c r="V82" s="50">
        <v>8.8718299999999992</v>
      </c>
      <c r="W82" s="50">
        <v>0</v>
      </c>
      <c r="X82" s="50">
        <v>4.4359149999999996</v>
      </c>
      <c r="Y82" s="50">
        <v>0</v>
      </c>
      <c r="Z82" s="50">
        <v>4.4359149999999996</v>
      </c>
      <c r="AA82" s="50">
        <v>0</v>
      </c>
      <c r="AB82" s="50">
        <v>0</v>
      </c>
      <c r="AC82" s="50">
        <f t="shared" si="20"/>
        <v>39.923234999999998</v>
      </c>
      <c r="AD82" s="50">
        <v>0</v>
      </c>
      <c r="AE82" s="52">
        <v>8.8718299999999992</v>
      </c>
      <c r="AF82" s="52">
        <v>8.8718299999999992</v>
      </c>
      <c r="AG82" s="52">
        <v>0</v>
      </c>
      <c r="AH82" s="52">
        <v>0</v>
      </c>
      <c r="AI82" s="51">
        <v>0</v>
      </c>
      <c r="AJ82" s="51">
        <v>0</v>
      </c>
      <c r="AK82" s="53"/>
      <c r="AL82" s="53"/>
      <c r="AM82" s="53"/>
      <c r="AN82" s="53"/>
      <c r="AO82" s="53"/>
      <c r="AP82" s="53"/>
      <c r="AQ82" s="53"/>
      <c r="AR82" s="53"/>
      <c r="AS82" s="53"/>
      <c r="AT82" s="45">
        <f>+O82/$O$137</f>
        <v>9.7635818681351932E-2</v>
      </c>
      <c r="AU82" s="74"/>
    </row>
    <row r="83" spans="4:48" x14ac:dyDescent="0.2">
      <c r="D83" s="86" t="s">
        <v>128</v>
      </c>
      <c r="E83" s="72">
        <f t="shared" ref="E83:AJ83" si="21">SUM(E78:E82)</f>
        <v>0</v>
      </c>
      <c r="F83" s="72">
        <f t="shared" si="21"/>
        <v>33.232647310000004</v>
      </c>
      <c r="G83" s="72">
        <f t="shared" si="21"/>
        <v>23.124415810000002</v>
      </c>
      <c r="H83" s="72">
        <f t="shared" si="21"/>
        <v>21.749325750000001</v>
      </c>
      <c r="I83" s="72">
        <f t="shared" si="21"/>
        <v>26.697383519999999</v>
      </c>
      <c r="J83" s="72">
        <f t="shared" si="21"/>
        <v>21.614988840000002</v>
      </c>
      <c r="K83" s="72">
        <f t="shared" si="21"/>
        <v>19.85667205</v>
      </c>
      <c r="L83" s="72">
        <f t="shared" si="21"/>
        <v>19.24464596</v>
      </c>
      <c r="M83" s="72">
        <f t="shared" si="21"/>
        <v>33.556775160000001</v>
      </c>
      <c r="N83" s="72">
        <f t="shared" si="21"/>
        <v>15.051119800000002</v>
      </c>
      <c r="O83" s="72">
        <f t="shared" si="21"/>
        <v>29.261122213300006</v>
      </c>
      <c r="P83" s="72">
        <f t="shared" si="21"/>
        <v>16.753608929999999</v>
      </c>
      <c r="Q83" s="72">
        <f t="shared" si="21"/>
        <v>25.86092361</v>
      </c>
      <c r="R83" s="72">
        <f t="shared" si="21"/>
        <v>0</v>
      </c>
      <c r="S83" s="72">
        <f t="shared" si="21"/>
        <v>24.984989329999998</v>
      </c>
      <c r="T83" s="72">
        <f t="shared" si="21"/>
        <v>61.489118250000004</v>
      </c>
      <c r="U83" s="72">
        <f t="shared" si="21"/>
        <v>0</v>
      </c>
      <c r="V83" s="72">
        <f t="shared" si="21"/>
        <v>9.8053481999999992</v>
      </c>
      <c r="W83" s="72">
        <f t="shared" si="21"/>
        <v>12.43498091</v>
      </c>
      <c r="X83" s="72">
        <f t="shared" si="21"/>
        <v>31.610267129999997</v>
      </c>
      <c r="Y83" s="72">
        <f t="shared" si="21"/>
        <v>0.93351819999999996</v>
      </c>
      <c r="Z83" s="72">
        <f t="shared" si="21"/>
        <v>19.668130769999998</v>
      </c>
      <c r="AA83" s="72">
        <f t="shared" si="21"/>
        <v>17.822584639999999</v>
      </c>
      <c r="AB83" s="72">
        <f t="shared" si="21"/>
        <v>7.5905395400000009</v>
      </c>
      <c r="AC83" s="72">
        <f t="shared" si="21"/>
        <v>212.20040058000004</v>
      </c>
      <c r="AD83" s="72">
        <f t="shared" si="21"/>
        <v>6.5485185499999998</v>
      </c>
      <c r="AE83" s="72">
        <f t="shared" si="21"/>
        <v>17.267137609999999</v>
      </c>
      <c r="AF83" s="72">
        <f t="shared" si="21"/>
        <v>24.133999199999998</v>
      </c>
      <c r="AG83" s="72">
        <f t="shared" si="21"/>
        <v>14.77017253</v>
      </c>
      <c r="AH83" s="72">
        <f t="shared" si="21"/>
        <v>4.9128159900000004</v>
      </c>
      <c r="AI83" s="72">
        <f t="shared" si="21"/>
        <v>14.756067679999999</v>
      </c>
      <c r="AJ83" s="72">
        <f t="shared" si="21"/>
        <v>14.656189260000001</v>
      </c>
      <c r="AK83" s="53"/>
      <c r="AL83" s="59"/>
      <c r="AM83" s="59"/>
      <c r="AN83" s="59"/>
      <c r="AO83" s="59"/>
      <c r="AP83" s="59"/>
      <c r="AQ83" s="59"/>
      <c r="AR83" s="59"/>
      <c r="AS83" s="59"/>
      <c r="AT83" s="60">
        <f>+O83/O137</f>
        <v>0.6440460700510805</v>
      </c>
      <c r="AU83" s="74"/>
    </row>
    <row r="84" spans="4:48" x14ac:dyDescent="0.2">
      <c r="D84" s="90" t="s">
        <v>129</v>
      </c>
      <c r="E84" s="88">
        <f t="shared" ref="E84:AJ84" si="22">+E83+E76</f>
        <v>8815.6193550037697</v>
      </c>
      <c r="F84" s="88">
        <f t="shared" si="22"/>
        <v>1541.3758692200001</v>
      </c>
      <c r="G84" s="88">
        <f t="shared" si="22"/>
        <v>2508.0243955899996</v>
      </c>
      <c r="H84" s="88">
        <f t="shared" si="22"/>
        <v>538.08835828776796</v>
      </c>
      <c r="I84" s="88">
        <f t="shared" si="22"/>
        <v>2400.1391752441814</v>
      </c>
      <c r="J84" s="88">
        <f t="shared" si="22"/>
        <v>2100.3567490335599</v>
      </c>
      <c r="K84" s="88">
        <f t="shared" si="22"/>
        <v>2349.0094084912853</v>
      </c>
      <c r="L84" s="88">
        <f t="shared" si="22"/>
        <v>1889.0186805636997</v>
      </c>
      <c r="M84" s="88">
        <f t="shared" si="22"/>
        <v>2686.2292120847924</v>
      </c>
      <c r="N84" s="88">
        <f t="shared" si="22"/>
        <v>2304.0758244566514</v>
      </c>
      <c r="O84" s="88">
        <f t="shared" si="22"/>
        <v>1562.9721219363676</v>
      </c>
      <c r="P84" s="88">
        <f t="shared" si="22"/>
        <v>2261.1316355855352</v>
      </c>
      <c r="Q84" s="88">
        <f t="shared" si="22"/>
        <v>2116.2481548000005</v>
      </c>
      <c r="R84" s="88">
        <f t="shared" si="22"/>
        <v>2114.0499304986997</v>
      </c>
      <c r="S84" s="88">
        <f t="shared" si="22"/>
        <v>1271.25260011</v>
      </c>
      <c r="T84" s="88">
        <f t="shared" si="22"/>
        <v>1567.1296662900004</v>
      </c>
      <c r="U84" s="88">
        <f t="shared" si="22"/>
        <v>2156.2083794552864</v>
      </c>
      <c r="V84" s="88">
        <f t="shared" si="22"/>
        <v>1620.2247640500002</v>
      </c>
      <c r="W84" s="88">
        <f t="shared" si="22"/>
        <v>3672.1126036262995</v>
      </c>
      <c r="X84" s="88">
        <f t="shared" si="22"/>
        <v>1858.9846874358818</v>
      </c>
      <c r="Y84" s="88">
        <f t="shared" si="22"/>
        <v>2044.5483777963191</v>
      </c>
      <c r="Z84" s="88">
        <f t="shared" si="22"/>
        <v>2227.8846903888921</v>
      </c>
      <c r="AA84" s="88">
        <f t="shared" si="22"/>
        <v>2689.9926040998789</v>
      </c>
      <c r="AB84" s="88">
        <f t="shared" si="22"/>
        <v>1530.0396416559699</v>
      </c>
      <c r="AC84" s="88">
        <f t="shared" si="22"/>
        <v>24868.676100207234</v>
      </c>
      <c r="AD84" s="88">
        <f t="shared" si="22"/>
        <v>1525.712528375788</v>
      </c>
      <c r="AE84" s="88">
        <f t="shared" si="22"/>
        <v>1658.402578541464</v>
      </c>
      <c r="AF84" s="88">
        <f t="shared" si="22"/>
        <v>3362.3771062657688</v>
      </c>
      <c r="AG84" s="88">
        <f t="shared" si="22"/>
        <v>2084.8347527531782</v>
      </c>
      <c r="AH84" s="88">
        <f t="shared" si="22"/>
        <v>1629.4785531171906</v>
      </c>
      <c r="AI84" s="88">
        <f t="shared" si="22"/>
        <v>2760.0765924495931</v>
      </c>
      <c r="AJ84" s="88">
        <f t="shared" si="22"/>
        <v>1151.3570305501919</v>
      </c>
      <c r="AK84" s="53"/>
      <c r="AL84" s="91"/>
      <c r="AM84" s="91"/>
      <c r="AN84" s="91"/>
      <c r="AO84" s="91"/>
      <c r="AP84" s="91"/>
      <c r="AQ84" s="91"/>
      <c r="AR84" s="91"/>
      <c r="AS84" s="91"/>
      <c r="AT84" s="60">
        <f>+O84/O137</f>
        <v>34.401484857439122</v>
      </c>
      <c r="AU84" s="74"/>
      <c r="AV84" s="92">
        <f>+AT86+AT89</f>
        <v>134.28361355315189</v>
      </c>
    </row>
    <row r="85" spans="4:48" x14ac:dyDescent="0.2">
      <c r="D85" s="61" t="s">
        <v>130</v>
      </c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2"/>
      <c r="AF85" s="52"/>
      <c r="AG85" s="52"/>
      <c r="AH85" s="52"/>
      <c r="AI85" s="52"/>
      <c r="AJ85" s="52"/>
      <c r="AK85" s="53"/>
      <c r="AL85" s="53"/>
      <c r="AM85" s="53"/>
      <c r="AN85" s="53"/>
      <c r="AO85" s="53"/>
      <c r="AP85" s="53"/>
      <c r="AQ85" s="53"/>
      <c r="AR85" s="53"/>
      <c r="AS85" s="53"/>
      <c r="AT85" s="45"/>
      <c r="AU85" s="74"/>
    </row>
    <row r="86" spans="4:48" x14ac:dyDescent="0.2">
      <c r="D86" s="64" t="s">
        <v>131</v>
      </c>
      <c r="E86" s="50">
        <v>0</v>
      </c>
      <c r="F86" s="50">
        <v>6.0248792295989988</v>
      </c>
      <c r="G86" s="50">
        <v>2.9990281809179997</v>
      </c>
      <c r="H86" s="50">
        <v>700.67000756444611</v>
      </c>
      <c r="I86" s="50">
        <v>700.91262802150004</v>
      </c>
      <c r="J86" s="50">
        <v>702.44074335395999</v>
      </c>
      <c r="K86" s="50">
        <v>704.81911826671205</v>
      </c>
      <c r="L86" s="50">
        <v>705.17289595439991</v>
      </c>
      <c r="M86" s="50">
        <v>707.44209446680588</v>
      </c>
      <c r="N86" s="50">
        <v>733.60033192581</v>
      </c>
      <c r="O86" s="50">
        <v>749.79103051007189</v>
      </c>
      <c r="P86" s="50">
        <v>759.79615260838</v>
      </c>
      <c r="Q86" s="50">
        <v>5927.9257463072117</v>
      </c>
      <c r="R86" s="50">
        <v>258.09749595522896</v>
      </c>
      <c r="S86" s="50">
        <v>258.32268302460147</v>
      </c>
      <c r="T86" s="50">
        <v>974.69610835043602</v>
      </c>
      <c r="U86" s="50">
        <v>974.14526211470104</v>
      </c>
      <c r="V86" s="50">
        <v>980.09077569896795</v>
      </c>
      <c r="W86" s="50">
        <v>981.06706575116164</v>
      </c>
      <c r="X86" s="50">
        <v>989.62393852207026</v>
      </c>
      <c r="Y86" s="50">
        <v>990.40513474498812</v>
      </c>
      <c r="Z86" s="50">
        <v>990.14180348929608</v>
      </c>
      <c r="AA86" s="50">
        <v>987.27142571751494</v>
      </c>
      <c r="AB86" s="50">
        <v>986.31599392578403</v>
      </c>
      <c r="AC86" s="50">
        <f t="shared" ref="AC86:AC95" si="23">SUM(Q86:AB86)</f>
        <v>15298.103433601962</v>
      </c>
      <c r="AD86" s="50">
        <v>6075.2413410470099</v>
      </c>
      <c r="AE86" s="52">
        <v>263.01082890997003</v>
      </c>
      <c r="AF86" s="52">
        <v>263.77975066363996</v>
      </c>
      <c r="AG86" s="52">
        <v>980.79328594087883</v>
      </c>
      <c r="AH86" s="52">
        <v>1023.7619309794331</v>
      </c>
      <c r="AI86" s="52">
        <v>1139.009544907301</v>
      </c>
      <c r="AJ86" s="52">
        <v>1004.6720268289058</v>
      </c>
      <c r="AK86" s="53"/>
      <c r="AL86" s="53"/>
      <c r="AM86" s="93"/>
      <c r="AN86" s="93"/>
      <c r="AO86" s="93"/>
      <c r="AP86" s="93"/>
      <c r="AQ86" s="93"/>
      <c r="AR86" s="93"/>
      <c r="AS86" s="53"/>
      <c r="AT86" s="45">
        <f t="shared" ref="AT86:AT95" si="24">+Q86/$Q$137</f>
        <v>129.95448349257512</v>
      </c>
      <c r="AU86" s="28">
        <f t="shared" ref="AU86:AU95" si="25">+N86/$N$137</f>
        <v>16.182161231139755</v>
      </c>
      <c r="AV86" s="74" t="s">
        <v>132</v>
      </c>
    </row>
    <row r="87" spans="4:48" x14ac:dyDescent="0.2">
      <c r="D87" s="64" t="s">
        <v>133</v>
      </c>
      <c r="E87" s="50">
        <v>0</v>
      </c>
      <c r="F87" s="50">
        <v>0</v>
      </c>
      <c r="G87" s="50">
        <v>0</v>
      </c>
      <c r="H87" s="50">
        <v>44.799649999999993</v>
      </c>
      <c r="I87" s="50">
        <v>0</v>
      </c>
      <c r="J87" s="50">
        <v>44.917899999999996</v>
      </c>
      <c r="K87" s="50">
        <v>22.559849999999997</v>
      </c>
      <c r="L87" s="50">
        <v>22.573499999999999</v>
      </c>
      <c r="M87" s="50">
        <v>22.645099999999999</v>
      </c>
      <c r="N87" s="50">
        <v>22.677599999999998</v>
      </c>
      <c r="O87" s="50">
        <v>22.713999999999999</v>
      </c>
      <c r="P87" s="50">
        <v>22.7776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0">
        <v>0</v>
      </c>
      <c r="W87" s="50">
        <v>0</v>
      </c>
      <c r="X87" s="50">
        <v>0</v>
      </c>
      <c r="Y87" s="50">
        <v>0</v>
      </c>
      <c r="Z87" s="50">
        <v>0</v>
      </c>
      <c r="AA87" s="50">
        <v>0</v>
      </c>
      <c r="AB87" s="94">
        <v>150</v>
      </c>
      <c r="AC87" s="50">
        <f t="shared" si="23"/>
        <v>150</v>
      </c>
      <c r="AD87" s="94">
        <v>0</v>
      </c>
      <c r="AE87" s="52">
        <v>0</v>
      </c>
      <c r="AF87" s="52">
        <v>0</v>
      </c>
      <c r="AG87" s="52">
        <v>0</v>
      </c>
      <c r="AH87" s="52">
        <v>0</v>
      </c>
      <c r="AI87" s="52">
        <v>0</v>
      </c>
      <c r="AJ87" s="52">
        <v>0</v>
      </c>
      <c r="AK87" s="53"/>
      <c r="AL87" s="53"/>
      <c r="AM87" s="93"/>
      <c r="AN87" s="93"/>
      <c r="AO87" s="93"/>
      <c r="AP87" s="93"/>
      <c r="AQ87" s="93"/>
      <c r="AR87" s="93"/>
      <c r="AS87" s="53"/>
      <c r="AT87" s="45">
        <f t="shared" si="24"/>
        <v>0</v>
      </c>
      <c r="AU87" s="28">
        <f t="shared" si="25"/>
        <v>0.50023502384730023</v>
      </c>
      <c r="AV87" s="74" t="s">
        <v>134</v>
      </c>
    </row>
    <row r="88" spans="4:48" x14ac:dyDescent="0.2">
      <c r="D88" s="64" t="s">
        <v>135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0">
        <v>0</v>
      </c>
      <c r="R88" s="50">
        <v>0</v>
      </c>
      <c r="S88" s="50">
        <v>0</v>
      </c>
      <c r="T88" s="50">
        <v>0</v>
      </c>
      <c r="U88" s="50">
        <v>0</v>
      </c>
      <c r="V88" s="50">
        <v>0</v>
      </c>
      <c r="W88" s="50">
        <v>0</v>
      </c>
      <c r="X88" s="50">
        <v>0</v>
      </c>
      <c r="Y88" s="50">
        <v>0</v>
      </c>
      <c r="Z88" s="50">
        <v>0</v>
      </c>
      <c r="AA88" s="50">
        <v>0</v>
      </c>
      <c r="AB88" s="50">
        <v>0</v>
      </c>
      <c r="AC88" s="50">
        <f t="shared" si="23"/>
        <v>0</v>
      </c>
      <c r="AD88" s="50">
        <v>0</v>
      </c>
      <c r="AE88" s="52">
        <v>0</v>
      </c>
      <c r="AF88" s="52">
        <v>0</v>
      </c>
      <c r="AG88" s="52">
        <v>0</v>
      </c>
      <c r="AH88" s="52">
        <v>0</v>
      </c>
      <c r="AI88" s="52">
        <v>0</v>
      </c>
      <c r="AJ88" s="52">
        <v>0</v>
      </c>
      <c r="AK88" s="53"/>
      <c r="AL88" s="53"/>
      <c r="AM88" s="93"/>
      <c r="AN88" s="93"/>
      <c r="AO88" s="93"/>
      <c r="AP88" s="93"/>
      <c r="AQ88" s="93"/>
      <c r="AR88" s="93"/>
      <c r="AS88" s="53"/>
      <c r="AT88" s="45">
        <f t="shared" si="24"/>
        <v>0</v>
      </c>
      <c r="AU88" s="28">
        <f t="shared" si="25"/>
        <v>0</v>
      </c>
      <c r="AV88" s="74"/>
    </row>
    <row r="89" spans="4:48" x14ac:dyDescent="0.2">
      <c r="D89" s="62" t="s">
        <v>19</v>
      </c>
      <c r="E89" s="50">
        <v>24.303566</v>
      </c>
      <c r="F89" s="50">
        <v>41.676961874999996</v>
      </c>
      <c r="G89" s="50">
        <v>43.419746418859006</v>
      </c>
      <c r="H89" s="50">
        <v>41.905098357863977</v>
      </c>
      <c r="I89" s="50">
        <v>37.713989585988983</v>
      </c>
      <c r="J89" s="50">
        <v>42.012917666849965</v>
      </c>
      <c r="K89" s="50">
        <v>40.188813917209977</v>
      </c>
      <c r="L89" s="50">
        <v>38.853050726372004</v>
      </c>
      <c r="M89" s="50">
        <v>42.466551683663972</v>
      </c>
      <c r="N89" s="50">
        <v>13.686370883789976</v>
      </c>
      <c r="O89" s="50">
        <v>9.2405830607999881</v>
      </c>
      <c r="P89" s="50">
        <v>4.7743037621999909</v>
      </c>
      <c r="Q89" s="50">
        <v>197.474999365234</v>
      </c>
      <c r="R89" s="50">
        <v>160.74975464711801</v>
      </c>
      <c r="S89" s="50">
        <v>148.42995787134444</v>
      </c>
      <c r="T89" s="50">
        <v>156.92046305389999</v>
      </c>
      <c r="U89" s="50">
        <v>149.74686965032211</v>
      </c>
      <c r="V89" s="50">
        <v>147.69292603731927</v>
      </c>
      <c r="W89" s="50">
        <v>143.6830927758659</v>
      </c>
      <c r="X89" s="50">
        <v>146.79700754907259</v>
      </c>
      <c r="Y89" s="50">
        <v>145.69662724328398</v>
      </c>
      <c r="Z89" s="50">
        <v>144.71758347004379</v>
      </c>
      <c r="AA89" s="50">
        <v>138.8808756150847</v>
      </c>
      <c r="AB89" s="50">
        <v>138.485974686628</v>
      </c>
      <c r="AC89" s="50">
        <f t="shared" si="23"/>
        <v>1819.2761319652166</v>
      </c>
      <c r="AD89" s="50">
        <v>141.1772541042111</v>
      </c>
      <c r="AE89" s="52">
        <v>132.4083389720692</v>
      </c>
      <c r="AF89" s="52">
        <v>124.02761022024701</v>
      </c>
      <c r="AG89" s="52">
        <v>139.24210705005711</v>
      </c>
      <c r="AH89" s="52">
        <v>120.79178318456879</v>
      </c>
      <c r="AI89" s="52">
        <v>134.88410656082803</v>
      </c>
      <c r="AJ89" s="52">
        <v>125.73606847531038</v>
      </c>
      <c r="AK89" s="53"/>
      <c r="AL89" s="53"/>
      <c r="AM89" s="93">
        <f>+R89/R137</f>
        <v>3.5125656003408343</v>
      </c>
      <c r="AN89" s="93"/>
      <c r="AO89" s="93"/>
      <c r="AP89" s="93"/>
      <c r="AQ89" s="93"/>
      <c r="AR89" s="93"/>
      <c r="AS89" s="53"/>
      <c r="AT89" s="45">
        <f t="shared" si="24"/>
        <v>4.3291300605767784</v>
      </c>
      <c r="AU89" s="28">
        <f t="shared" si="25"/>
        <v>0.30190152685626676</v>
      </c>
      <c r="AV89" s="74" t="s">
        <v>136</v>
      </c>
    </row>
    <row r="90" spans="4:48" x14ac:dyDescent="0.2">
      <c r="D90" s="78" t="s">
        <v>137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v>0</v>
      </c>
      <c r="P90" s="50">
        <v>0</v>
      </c>
      <c r="Q90" s="50">
        <v>0</v>
      </c>
      <c r="R90" s="50">
        <v>0</v>
      </c>
      <c r="S90" s="50">
        <v>0</v>
      </c>
      <c r="T90" s="50">
        <v>0</v>
      </c>
      <c r="U90" s="50">
        <v>0</v>
      </c>
      <c r="V90" s="50">
        <v>0</v>
      </c>
      <c r="W90" s="50">
        <v>0</v>
      </c>
      <c r="X90" s="50">
        <v>0</v>
      </c>
      <c r="Y90" s="50">
        <v>0</v>
      </c>
      <c r="Z90" s="50">
        <v>0</v>
      </c>
      <c r="AA90" s="50">
        <v>0</v>
      </c>
      <c r="AB90" s="50">
        <v>0</v>
      </c>
      <c r="AC90" s="50">
        <f t="shared" si="23"/>
        <v>0</v>
      </c>
      <c r="AD90" s="50">
        <v>0</v>
      </c>
      <c r="AE90" s="52">
        <v>0</v>
      </c>
      <c r="AF90" s="52">
        <v>0</v>
      </c>
      <c r="AG90" s="52">
        <v>0</v>
      </c>
      <c r="AH90" s="52">
        <v>0</v>
      </c>
      <c r="AI90" s="52">
        <v>0</v>
      </c>
      <c r="AJ90" s="52">
        <v>0</v>
      </c>
      <c r="AK90" s="53"/>
      <c r="AL90" s="53"/>
      <c r="AM90" s="53"/>
      <c r="AN90" s="53"/>
      <c r="AO90" s="53"/>
      <c r="AP90" s="53"/>
      <c r="AQ90" s="53"/>
      <c r="AR90" s="53"/>
      <c r="AS90" s="53"/>
      <c r="AT90" s="45">
        <f t="shared" si="24"/>
        <v>0</v>
      </c>
      <c r="AU90" s="28">
        <f t="shared" si="25"/>
        <v>0</v>
      </c>
      <c r="AV90" s="74"/>
    </row>
    <row r="91" spans="4:48" x14ac:dyDescent="0.2">
      <c r="D91" s="78" t="s">
        <v>138</v>
      </c>
      <c r="E91" s="50">
        <v>0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50">
        <v>0</v>
      </c>
      <c r="V91" s="50">
        <v>0</v>
      </c>
      <c r="W91" s="50">
        <v>0</v>
      </c>
      <c r="X91" s="50">
        <v>0</v>
      </c>
      <c r="Y91" s="50">
        <v>0</v>
      </c>
      <c r="Z91" s="50">
        <v>0</v>
      </c>
      <c r="AA91" s="50">
        <v>0</v>
      </c>
      <c r="AB91" s="50">
        <v>0</v>
      </c>
      <c r="AC91" s="50">
        <f t="shared" si="23"/>
        <v>0</v>
      </c>
      <c r="AD91" s="50">
        <v>0</v>
      </c>
      <c r="AE91" s="52">
        <v>0</v>
      </c>
      <c r="AF91" s="52">
        <v>0</v>
      </c>
      <c r="AG91" s="52">
        <v>0</v>
      </c>
      <c r="AH91" s="52">
        <v>0</v>
      </c>
      <c r="AI91" s="52">
        <v>0</v>
      </c>
      <c r="AJ91" s="52">
        <v>0</v>
      </c>
      <c r="AK91" s="53"/>
      <c r="AL91" s="53"/>
      <c r="AM91" s="53"/>
      <c r="AN91" s="53"/>
      <c r="AO91" s="53"/>
      <c r="AP91" s="53"/>
      <c r="AQ91" s="53"/>
      <c r="AR91" s="53"/>
      <c r="AS91" s="53"/>
      <c r="AT91" s="45">
        <f t="shared" si="24"/>
        <v>0</v>
      </c>
      <c r="AU91" s="28">
        <f t="shared" si="25"/>
        <v>0</v>
      </c>
      <c r="AV91" s="74"/>
    </row>
    <row r="92" spans="4:48" x14ac:dyDescent="0.2">
      <c r="D92" s="64" t="s">
        <v>20</v>
      </c>
      <c r="E92" s="50">
        <v>60.317262436990994</v>
      </c>
      <c r="F92" s="50">
        <v>4.5502591099999989E-2</v>
      </c>
      <c r="G92" s="50">
        <v>0.43249251020000007</v>
      </c>
      <c r="H92" s="50">
        <v>4.5304702449999998E-2</v>
      </c>
      <c r="I92" s="50">
        <v>16.310609271500002</v>
      </c>
      <c r="J92" s="50">
        <v>0.31756564259999998</v>
      </c>
      <c r="K92" s="50">
        <v>0.88330065163400018</v>
      </c>
      <c r="L92" s="50">
        <v>0.45341499260000007</v>
      </c>
      <c r="M92" s="50">
        <v>31.672240974340998</v>
      </c>
      <c r="N92" s="50">
        <v>2.9941807847090001</v>
      </c>
      <c r="O92" s="50">
        <v>0.13831591680000002</v>
      </c>
      <c r="P92" s="50">
        <v>0.72296269459999984</v>
      </c>
      <c r="Q92" s="50">
        <v>32.291832861290999</v>
      </c>
      <c r="R92" s="50">
        <v>0.25433676980000736</v>
      </c>
      <c r="S92" s="50">
        <v>0.16063940949999997</v>
      </c>
      <c r="T92" s="50">
        <v>0.21412328299999997</v>
      </c>
      <c r="U92" s="50">
        <v>16.974213052600014</v>
      </c>
      <c r="V92" s="50">
        <v>1.2199716412000003</v>
      </c>
      <c r="W92" s="50">
        <v>0.25471436559999999</v>
      </c>
      <c r="X92" s="50">
        <v>0.48485184019999977</v>
      </c>
      <c r="Y92" s="50">
        <v>0.16479305590000001</v>
      </c>
      <c r="Z92" s="50">
        <v>0.16159305979999999</v>
      </c>
      <c r="AA92" s="50">
        <v>0.47841992420000007</v>
      </c>
      <c r="AB92" s="50">
        <v>0.14769593849999998</v>
      </c>
      <c r="AC92" s="50">
        <f t="shared" si="23"/>
        <v>52.807185201591011</v>
      </c>
      <c r="AD92" s="50">
        <v>29.546811669199997</v>
      </c>
      <c r="AE92" s="52">
        <v>0.7434659562999999</v>
      </c>
      <c r="AF92" s="52">
        <v>0.23259785520000001</v>
      </c>
      <c r="AG92" s="52">
        <v>0.11979729880000001</v>
      </c>
      <c r="AH92" s="52">
        <v>0.19554086179999999</v>
      </c>
      <c r="AI92" s="52">
        <v>0.19554086179999999</v>
      </c>
      <c r="AJ92" s="52">
        <v>0.11480048430000001</v>
      </c>
      <c r="AK92" s="53"/>
      <c r="AL92" s="53"/>
      <c r="AM92" s="53"/>
      <c r="AN92" s="53"/>
      <c r="AO92" s="53"/>
      <c r="AP92" s="53"/>
      <c r="AQ92" s="53"/>
      <c r="AR92" s="53"/>
      <c r="AS92" s="53"/>
      <c r="AT92" s="45">
        <f t="shared" si="24"/>
        <v>0.70791515280565331</v>
      </c>
      <c r="AU92" s="28">
        <f t="shared" si="25"/>
        <v>6.6047293198664536E-2</v>
      </c>
      <c r="AV92" s="74" t="s">
        <v>139</v>
      </c>
    </row>
    <row r="93" spans="4:48" x14ac:dyDescent="0.2">
      <c r="D93" s="64" t="s">
        <v>140</v>
      </c>
      <c r="E93" s="50">
        <v>0</v>
      </c>
      <c r="F93" s="50">
        <v>0</v>
      </c>
      <c r="G93" s="50">
        <v>0</v>
      </c>
      <c r="H93" s="50">
        <v>0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v>0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  <c r="U93" s="50">
        <v>0</v>
      </c>
      <c r="V93" s="50">
        <v>0</v>
      </c>
      <c r="W93" s="50">
        <v>0</v>
      </c>
      <c r="X93" s="50">
        <v>0</v>
      </c>
      <c r="Y93" s="50">
        <v>0</v>
      </c>
      <c r="Z93" s="50">
        <v>0</v>
      </c>
      <c r="AA93" s="50">
        <v>0</v>
      </c>
      <c r="AB93" s="50">
        <v>0</v>
      </c>
      <c r="AC93" s="50">
        <f t="shared" si="23"/>
        <v>0</v>
      </c>
      <c r="AD93" s="50">
        <v>0</v>
      </c>
      <c r="AE93" s="52">
        <v>0</v>
      </c>
      <c r="AF93" s="52">
        <v>0</v>
      </c>
      <c r="AG93" s="52">
        <v>0</v>
      </c>
      <c r="AH93" s="52">
        <v>0</v>
      </c>
      <c r="AI93" s="52">
        <v>0</v>
      </c>
      <c r="AJ93" s="52">
        <v>0</v>
      </c>
      <c r="AK93" s="53"/>
      <c r="AL93" s="53"/>
      <c r="AM93" s="53"/>
      <c r="AN93" s="53"/>
      <c r="AO93" s="53"/>
      <c r="AP93" s="53"/>
      <c r="AQ93" s="53"/>
      <c r="AR93" s="53"/>
      <c r="AS93" s="53"/>
      <c r="AT93" s="45">
        <f t="shared" si="24"/>
        <v>0</v>
      </c>
      <c r="AU93" s="28">
        <f t="shared" si="25"/>
        <v>0</v>
      </c>
      <c r="AV93" s="74"/>
    </row>
    <row r="94" spans="4:48" x14ac:dyDescent="0.2">
      <c r="D94" s="62" t="s">
        <v>141</v>
      </c>
      <c r="E94" s="50">
        <v>0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20.7</v>
      </c>
      <c r="M94" s="50">
        <v>18.899999999999999</v>
      </c>
      <c r="N94" s="50">
        <v>18.899999999999999</v>
      </c>
      <c r="O94" s="50">
        <v>19.8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>
        <v>0</v>
      </c>
      <c r="W94" s="50">
        <v>0</v>
      </c>
      <c r="X94" s="50">
        <v>44.2</v>
      </c>
      <c r="Y94" s="50">
        <v>20.399999999999999</v>
      </c>
      <c r="Z94" s="50">
        <v>40</v>
      </c>
      <c r="AA94" s="50">
        <v>20</v>
      </c>
      <c r="AB94" s="50">
        <v>101.5</v>
      </c>
      <c r="AC94" s="50">
        <f t="shared" si="23"/>
        <v>226.1</v>
      </c>
      <c r="AD94" s="50">
        <v>6</v>
      </c>
      <c r="AE94" s="52">
        <v>0</v>
      </c>
      <c r="AF94" s="52">
        <v>0</v>
      </c>
      <c r="AG94" s="52">
        <v>13.1</v>
      </c>
      <c r="AH94" s="52">
        <v>20</v>
      </c>
      <c r="AI94" s="52">
        <v>0</v>
      </c>
      <c r="AJ94" s="52">
        <v>7</v>
      </c>
      <c r="AK94" s="53"/>
      <c r="AL94" s="53"/>
      <c r="AM94" s="53"/>
      <c r="AN94" s="53"/>
      <c r="AO94" s="53"/>
      <c r="AP94" s="53"/>
      <c r="AQ94" s="53"/>
      <c r="AR94" s="53"/>
      <c r="AS94" s="53"/>
      <c r="AT94" s="45">
        <f t="shared" si="24"/>
        <v>0</v>
      </c>
      <c r="AU94" s="28">
        <f t="shared" si="25"/>
        <v>0.41690663697719221</v>
      </c>
      <c r="AV94" s="74" t="s">
        <v>142</v>
      </c>
    </row>
    <row r="95" spans="4:48" x14ac:dyDescent="0.2">
      <c r="D95" s="64" t="s">
        <v>143</v>
      </c>
      <c r="E95" s="50">
        <v>0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0</v>
      </c>
      <c r="U95" s="50">
        <v>0</v>
      </c>
      <c r="V95" s="50">
        <v>0</v>
      </c>
      <c r="W95" s="50">
        <v>0</v>
      </c>
      <c r="X95" s="50">
        <v>0</v>
      </c>
      <c r="Y95" s="50">
        <v>0</v>
      </c>
      <c r="Z95" s="50">
        <v>0</v>
      </c>
      <c r="AA95" s="50">
        <v>0</v>
      </c>
      <c r="AB95" s="50">
        <v>0</v>
      </c>
      <c r="AC95" s="50">
        <f t="shared" si="23"/>
        <v>0</v>
      </c>
      <c r="AD95" s="50">
        <v>0</v>
      </c>
      <c r="AE95" s="52">
        <v>0</v>
      </c>
      <c r="AF95" s="52">
        <v>0</v>
      </c>
      <c r="AG95" s="52">
        <v>0</v>
      </c>
      <c r="AH95" s="52">
        <v>0</v>
      </c>
      <c r="AI95" s="52">
        <v>0</v>
      </c>
      <c r="AJ95" s="52">
        <v>0</v>
      </c>
      <c r="AK95" s="53"/>
      <c r="AL95" s="53"/>
      <c r="AM95" s="53"/>
      <c r="AN95" s="53"/>
      <c r="AO95" s="53"/>
      <c r="AP95" s="53"/>
      <c r="AQ95" s="53"/>
      <c r="AR95" s="53"/>
      <c r="AS95" s="53"/>
      <c r="AT95" s="45">
        <f t="shared" si="24"/>
        <v>0</v>
      </c>
      <c r="AU95" s="28">
        <f t="shared" si="25"/>
        <v>0</v>
      </c>
    </row>
    <row r="96" spans="4:48" x14ac:dyDescent="0.2">
      <c r="D96" s="95" t="s">
        <v>144</v>
      </c>
      <c r="E96" s="72">
        <f t="shared" ref="E96:AJ96" si="26">SUM(E86:E95)</f>
        <v>84.62082843699099</v>
      </c>
      <c r="F96" s="72">
        <f t="shared" si="26"/>
        <v>47.747343695699001</v>
      </c>
      <c r="G96" s="72">
        <f t="shared" si="26"/>
        <v>46.851267109977009</v>
      </c>
      <c r="H96" s="72">
        <f t="shared" si="26"/>
        <v>787.42006062476014</v>
      </c>
      <c r="I96" s="72">
        <f t="shared" si="26"/>
        <v>754.93722687898901</v>
      </c>
      <c r="J96" s="72">
        <f t="shared" si="26"/>
        <v>789.68912666340998</v>
      </c>
      <c r="K96" s="72">
        <f t="shared" si="26"/>
        <v>768.45108283555601</v>
      </c>
      <c r="L96" s="72">
        <f t="shared" si="26"/>
        <v>787.75286167337185</v>
      </c>
      <c r="M96" s="72">
        <f t="shared" si="26"/>
        <v>823.12598712481076</v>
      </c>
      <c r="N96" s="72">
        <f t="shared" si="26"/>
        <v>791.85848359430895</v>
      </c>
      <c r="O96" s="72">
        <f t="shared" si="26"/>
        <v>801.68392948767189</v>
      </c>
      <c r="P96" s="72">
        <f t="shared" si="26"/>
        <v>788.07101906518005</v>
      </c>
      <c r="Q96" s="72">
        <f t="shared" si="26"/>
        <v>6157.6925785337371</v>
      </c>
      <c r="R96" s="72">
        <f t="shared" si="26"/>
        <v>419.10158737214704</v>
      </c>
      <c r="S96" s="72">
        <f t="shared" si="26"/>
        <v>406.91328030544588</v>
      </c>
      <c r="T96" s="72">
        <f t="shared" si="26"/>
        <v>1131.8306946873358</v>
      </c>
      <c r="U96" s="72">
        <f t="shared" si="26"/>
        <v>1140.866344817623</v>
      </c>
      <c r="V96" s="72">
        <f t="shared" si="26"/>
        <v>1129.0036733774871</v>
      </c>
      <c r="W96" s="72">
        <f t="shared" si="26"/>
        <v>1125.0048728926274</v>
      </c>
      <c r="X96" s="72">
        <f t="shared" si="26"/>
        <v>1181.105797911343</v>
      </c>
      <c r="Y96" s="72">
        <f t="shared" si="26"/>
        <v>1156.6665550441721</v>
      </c>
      <c r="Z96" s="72">
        <f t="shared" si="26"/>
        <v>1175.0209800191399</v>
      </c>
      <c r="AA96" s="72">
        <f t="shared" si="26"/>
        <v>1146.6307212567995</v>
      </c>
      <c r="AB96" s="72">
        <f t="shared" si="26"/>
        <v>1376.4496645509118</v>
      </c>
      <c r="AC96" s="72">
        <f t="shared" si="26"/>
        <v>17546.28675076877</v>
      </c>
      <c r="AD96" s="72">
        <f t="shared" si="26"/>
        <v>6251.9654068204209</v>
      </c>
      <c r="AE96" s="72">
        <f t="shared" si="26"/>
        <v>396.16263383833922</v>
      </c>
      <c r="AF96" s="72">
        <f t="shared" si="26"/>
        <v>388.03995873908701</v>
      </c>
      <c r="AG96" s="72">
        <f t="shared" si="26"/>
        <v>1133.2551902897358</v>
      </c>
      <c r="AH96" s="72">
        <f t="shared" si="26"/>
        <v>1164.7492550258021</v>
      </c>
      <c r="AI96" s="72">
        <f t="shared" si="26"/>
        <v>1274.0891923299291</v>
      </c>
      <c r="AJ96" s="72">
        <f t="shared" si="26"/>
        <v>1137.5228957885163</v>
      </c>
      <c r="AK96" s="53"/>
      <c r="AL96" s="59"/>
      <c r="AM96" s="59"/>
      <c r="AN96" s="59"/>
      <c r="AO96" s="59"/>
      <c r="AP96" s="59"/>
      <c r="AQ96" s="59"/>
      <c r="AR96" s="59"/>
      <c r="AS96" s="59"/>
      <c r="AT96" s="60">
        <f>SUM(AT86:AT95)</f>
        <v>134.99152870595753</v>
      </c>
      <c r="AU96" s="74"/>
    </row>
    <row r="97" spans="4:48" x14ac:dyDescent="0.2">
      <c r="D97" s="62" t="s">
        <v>67</v>
      </c>
      <c r="E97" s="50">
        <v>199.10364780207783</v>
      </c>
      <c r="F97" s="50">
        <v>67.980326892772496</v>
      </c>
      <c r="G97" s="50">
        <v>-41.24220869639619</v>
      </c>
      <c r="H97" s="50">
        <v>39.726895116321515</v>
      </c>
      <c r="I97" s="50">
        <v>39.7274806</v>
      </c>
      <c r="J97" s="50">
        <f>+J19</f>
        <v>45.679440900000003</v>
      </c>
      <c r="K97" s="50">
        <v>74.159726209999988</v>
      </c>
      <c r="L97" s="50">
        <v>67.022067649999997</v>
      </c>
      <c r="M97" s="50">
        <v>-13.910586260000001</v>
      </c>
      <c r="N97" s="50">
        <v>-122.88988286999999</v>
      </c>
      <c r="O97" s="50">
        <v>-138.56569171999999</v>
      </c>
      <c r="P97" s="50"/>
      <c r="Q97" s="50">
        <v>-128.29573167000001</v>
      </c>
      <c r="R97" s="50">
        <v>-243.14212419</v>
      </c>
      <c r="S97" s="50">
        <v>-275.47211463999997</v>
      </c>
      <c r="T97" s="50"/>
      <c r="U97" s="50">
        <v>-227.83457941</v>
      </c>
      <c r="V97" s="50"/>
      <c r="W97" s="50"/>
      <c r="X97" s="50">
        <v>-113.97282795</v>
      </c>
      <c r="Y97" s="50"/>
      <c r="Z97" s="50"/>
      <c r="AA97" s="50">
        <v>-58.51440229</v>
      </c>
      <c r="AB97" s="50">
        <v>-18.11856058</v>
      </c>
      <c r="AC97" s="50">
        <f t="shared" ref="AC97:AC104" si="27">SUM(Q97:AB97)</f>
        <v>-1065.3503407299997</v>
      </c>
      <c r="AD97" s="50"/>
      <c r="AE97" s="52">
        <v>120.1315366</v>
      </c>
      <c r="AF97" s="52">
        <v>147.3639</v>
      </c>
      <c r="AG97" s="52"/>
      <c r="AH97" s="52"/>
      <c r="AI97" s="52">
        <v>117.73288247000001</v>
      </c>
      <c r="AJ97" s="52"/>
      <c r="AK97" s="53"/>
      <c r="AL97" s="53"/>
      <c r="AM97" s="53"/>
      <c r="AN97" s="53"/>
      <c r="AO97" s="53"/>
      <c r="AP97" s="53"/>
      <c r="AQ97" s="53"/>
      <c r="AR97" s="53"/>
      <c r="AS97" s="53"/>
      <c r="AT97" s="45"/>
      <c r="AU97" s="74"/>
    </row>
    <row r="98" spans="4:48" x14ac:dyDescent="0.2">
      <c r="D98" s="64" t="s">
        <v>145</v>
      </c>
      <c r="E98" s="50"/>
      <c r="F98" s="50"/>
      <c r="G98" s="50"/>
      <c r="H98" s="50"/>
      <c r="I98" s="50"/>
      <c r="J98" s="50"/>
      <c r="K98" s="50">
        <v>0</v>
      </c>
      <c r="L98" s="50">
        <v>0</v>
      </c>
      <c r="M98" s="50">
        <v>0</v>
      </c>
      <c r="N98" s="50">
        <v>0</v>
      </c>
      <c r="O98" s="50">
        <v>10.32171838</v>
      </c>
      <c r="P98" s="50"/>
      <c r="Q98" s="50">
        <v>0</v>
      </c>
      <c r="R98" s="50">
        <v>0</v>
      </c>
      <c r="S98" s="50">
        <v>0</v>
      </c>
      <c r="T98" s="50"/>
      <c r="U98" s="50">
        <v>0</v>
      </c>
      <c r="V98" s="50"/>
      <c r="W98" s="50"/>
      <c r="X98" s="50">
        <v>0</v>
      </c>
      <c r="Y98" s="50"/>
      <c r="Z98" s="50">
        <v>0</v>
      </c>
      <c r="AA98" s="50">
        <v>0</v>
      </c>
      <c r="AB98" s="50">
        <v>0</v>
      </c>
      <c r="AC98" s="50">
        <f t="shared" si="27"/>
        <v>0</v>
      </c>
      <c r="AD98" s="50"/>
      <c r="AE98" s="52">
        <v>0</v>
      </c>
      <c r="AF98" s="52">
        <v>0</v>
      </c>
      <c r="AG98" s="52"/>
      <c r="AH98" s="52"/>
      <c r="AI98" s="52">
        <v>10.579131520000001</v>
      </c>
      <c r="AJ98" s="52"/>
      <c r="AK98" s="53"/>
      <c r="AL98" s="53"/>
      <c r="AM98" s="53"/>
      <c r="AN98" s="53"/>
      <c r="AO98" s="53"/>
      <c r="AP98" s="53"/>
      <c r="AQ98" s="53"/>
      <c r="AR98" s="53"/>
      <c r="AS98" s="53"/>
      <c r="AT98" s="45"/>
      <c r="AU98" s="74"/>
    </row>
    <row r="99" spans="4:48" x14ac:dyDescent="0.2">
      <c r="D99" s="64" t="s">
        <v>69</v>
      </c>
      <c r="E99" s="50"/>
      <c r="F99" s="50"/>
      <c r="G99" s="50"/>
      <c r="H99" s="50"/>
      <c r="I99" s="50"/>
      <c r="J99" s="50"/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/>
      <c r="Q99" s="50">
        <v>0</v>
      </c>
      <c r="R99" s="50">
        <v>0</v>
      </c>
      <c r="S99" s="50">
        <v>0</v>
      </c>
      <c r="T99" s="50"/>
      <c r="U99" s="50">
        <v>0</v>
      </c>
      <c r="V99" s="50"/>
      <c r="W99" s="50"/>
      <c r="X99" s="50">
        <v>0</v>
      </c>
      <c r="Y99" s="50"/>
      <c r="Z99" s="50">
        <v>0</v>
      </c>
      <c r="AA99" s="50">
        <v>92.142121459999998</v>
      </c>
      <c r="AB99" s="50">
        <v>0</v>
      </c>
      <c r="AC99" s="50">
        <f t="shared" si="27"/>
        <v>92.142121459999998</v>
      </c>
      <c r="AD99" s="50"/>
      <c r="AE99" s="52">
        <v>0</v>
      </c>
      <c r="AF99" s="52">
        <v>0</v>
      </c>
      <c r="AG99" s="52"/>
      <c r="AH99" s="52"/>
      <c r="AI99" s="52">
        <v>0</v>
      </c>
      <c r="AJ99" s="52"/>
      <c r="AK99" s="53"/>
      <c r="AL99" s="53"/>
      <c r="AM99" s="53"/>
      <c r="AN99" s="53"/>
      <c r="AO99" s="53"/>
      <c r="AP99" s="53"/>
      <c r="AQ99" s="53"/>
      <c r="AR99" s="53"/>
      <c r="AS99" s="53"/>
      <c r="AT99" s="45"/>
      <c r="AU99" s="74"/>
    </row>
    <row r="100" spans="4:48" x14ac:dyDescent="0.2">
      <c r="D100" s="64" t="s">
        <v>146</v>
      </c>
      <c r="E100" s="50"/>
      <c r="F100" s="50"/>
      <c r="G100" s="50"/>
      <c r="H100" s="50"/>
      <c r="I100" s="50"/>
      <c r="J100" s="50">
        <f>+J20</f>
        <v>10.445696099999999</v>
      </c>
      <c r="K100" s="50">
        <v>11.772145140000001</v>
      </c>
      <c r="L100" s="50">
        <v>10.61718917</v>
      </c>
      <c r="M100" s="50">
        <v>10.608883000000001</v>
      </c>
      <c r="N100" s="50">
        <v>10.563505019999999</v>
      </c>
      <c r="O100" s="50">
        <v>0</v>
      </c>
      <c r="P100" s="50"/>
      <c r="Q100" s="50">
        <v>8.4809595699999996</v>
      </c>
      <c r="R100" s="50">
        <v>9.9157124799999998</v>
      </c>
      <c r="S100" s="50">
        <v>10.401573880000001</v>
      </c>
      <c r="T100" s="50"/>
      <c r="U100" s="50">
        <v>10.911967560000001</v>
      </c>
      <c r="V100" s="50"/>
      <c r="W100" s="50"/>
      <c r="X100" s="50">
        <v>10.881219659999999</v>
      </c>
      <c r="Y100" s="50"/>
      <c r="Z100" s="50"/>
      <c r="AA100" s="50">
        <v>11.124462940000001</v>
      </c>
      <c r="AB100" s="50">
        <v>12.1341527</v>
      </c>
      <c r="AC100" s="50">
        <f t="shared" si="27"/>
        <v>73.850048790000002</v>
      </c>
      <c r="AD100" s="50"/>
      <c r="AE100" s="52">
        <v>10.8220145</v>
      </c>
      <c r="AF100" s="52">
        <v>11.10089977</v>
      </c>
      <c r="AG100" s="52"/>
      <c r="AH100" s="52"/>
      <c r="AI100" s="52">
        <v>0</v>
      </c>
      <c r="AJ100" s="52"/>
      <c r="AK100" s="53"/>
      <c r="AL100" s="53"/>
      <c r="AM100" s="53"/>
      <c r="AN100" s="53"/>
      <c r="AO100" s="53"/>
      <c r="AP100" s="53"/>
      <c r="AQ100" s="53"/>
      <c r="AR100" s="53"/>
      <c r="AS100" s="53"/>
      <c r="AT100" s="45"/>
      <c r="AU100" s="74"/>
    </row>
    <row r="101" spans="4:48" ht="9.75" customHeight="1" x14ac:dyDescent="0.2">
      <c r="D101" s="64" t="s">
        <v>147</v>
      </c>
      <c r="E101" s="50"/>
      <c r="F101" s="50"/>
      <c r="G101" s="50"/>
      <c r="H101" s="50"/>
      <c r="I101" s="50"/>
      <c r="J101" s="50"/>
      <c r="K101" s="50">
        <v>0</v>
      </c>
      <c r="L101" s="50">
        <v>0</v>
      </c>
      <c r="M101" s="50">
        <v>0</v>
      </c>
      <c r="N101" s="50">
        <v>0</v>
      </c>
      <c r="O101" s="50">
        <v>0</v>
      </c>
      <c r="P101" s="50"/>
      <c r="Q101" s="50">
        <v>0</v>
      </c>
      <c r="R101" s="50">
        <v>0</v>
      </c>
      <c r="S101" s="50">
        <v>0</v>
      </c>
      <c r="T101" s="50"/>
      <c r="U101" s="50">
        <v>0</v>
      </c>
      <c r="V101" s="50"/>
      <c r="W101" s="50"/>
      <c r="X101" s="50">
        <v>0</v>
      </c>
      <c r="Y101" s="50"/>
      <c r="Z101" s="50">
        <v>0</v>
      </c>
      <c r="AA101" s="50">
        <v>0</v>
      </c>
      <c r="AB101" s="50">
        <v>0</v>
      </c>
      <c r="AC101" s="50">
        <f t="shared" si="27"/>
        <v>0</v>
      </c>
      <c r="AD101" s="50"/>
      <c r="AE101" s="52">
        <v>0</v>
      </c>
      <c r="AF101" s="52">
        <v>0</v>
      </c>
      <c r="AG101" s="52"/>
      <c r="AH101" s="52"/>
      <c r="AI101" s="52">
        <v>0</v>
      </c>
      <c r="AJ101" s="52"/>
      <c r="AK101" s="53"/>
      <c r="AL101" s="53"/>
      <c r="AM101" s="53"/>
      <c r="AN101" s="53"/>
      <c r="AO101" s="53"/>
      <c r="AP101" s="53"/>
      <c r="AQ101" s="53"/>
      <c r="AR101" s="53"/>
      <c r="AS101" s="53"/>
      <c r="AT101" s="45"/>
      <c r="AU101" s="74"/>
    </row>
    <row r="102" spans="4:48" x14ac:dyDescent="0.2">
      <c r="D102" s="64" t="s">
        <v>148</v>
      </c>
      <c r="E102" s="50"/>
      <c r="F102" s="50"/>
      <c r="G102" s="50"/>
      <c r="H102" s="50"/>
      <c r="I102" s="50"/>
      <c r="J102" s="50"/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/>
      <c r="Q102" s="50">
        <v>0</v>
      </c>
      <c r="R102" s="50">
        <v>0</v>
      </c>
      <c r="S102" s="50">
        <v>0</v>
      </c>
      <c r="T102" s="50"/>
      <c r="U102" s="50">
        <v>0</v>
      </c>
      <c r="V102" s="50"/>
      <c r="W102" s="50"/>
      <c r="X102" s="50">
        <v>0</v>
      </c>
      <c r="Y102" s="50"/>
      <c r="Z102" s="50">
        <v>0</v>
      </c>
      <c r="AA102" s="50">
        <v>0</v>
      </c>
      <c r="AB102" s="50">
        <v>0</v>
      </c>
      <c r="AC102" s="50">
        <f t="shared" si="27"/>
        <v>0</v>
      </c>
      <c r="AD102" s="50"/>
      <c r="AE102" s="52">
        <v>0</v>
      </c>
      <c r="AF102" s="52">
        <v>0</v>
      </c>
      <c r="AG102" s="52"/>
      <c r="AH102" s="52"/>
      <c r="AI102" s="52">
        <v>0</v>
      </c>
      <c r="AJ102" s="52"/>
      <c r="AK102" s="53"/>
      <c r="AL102" s="53"/>
      <c r="AM102" s="53"/>
      <c r="AN102" s="53"/>
      <c r="AO102" s="53"/>
      <c r="AP102" s="53"/>
      <c r="AQ102" s="53"/>
      <c r="AR102" s="53"/>
      <c r="AS102" s="53"/>
      <c r="AT102" s="45"/>
      <c r="AU102" s="74"/>
    </row>
    <row r="103" spans="4:48" x14ac:dyDescent="0.2">
      <c r="D103" s="64" t="s">
        <v>149</v>
      </c>
      <c r="E103" s="50"/>
      <c r="F103" s="50"/>
      <c r="G103" s="50"/>
      <c r="H103" s="50"/>
      <c r="I103" s="50"/>
      <c r="J103" s="50"/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0"/>
      <c r="Q103" s="50">
        <v>0</v>
      </c>
      <c r="R103" s="50">
        <v>0</v>
      </c>
      <c r="S103" s="50">
        <v>0</v>
      </c>
      <c r="T103" s="50"/>
      <c r="U103" s="50">
        <v>0</v>
      </c>
      <c r="V103" s="50"/>
      <c r="W103" s="50"/>
      <c r="X103" s="50">
        <v>0</v>
      </c>
      <c r="Y103" s="50"/>
      <c r="Z103" s="50">
        <v>0</v>
      </c>
      <c r="AA103" s="50">
        <v>0</v>
      </c>
      <c r="AB103" s="50">
        <v>0</v>
      </c>
      <c r="AC103" s="50">
        <f t="shared" si="27"/>
        <v>0</v>
      </c>
      <c r="AD103" s="50"/>
      <c r="AE103" s="52">
        <v>0</v>
      </c>
      <c r="AF103" s="52">
        <v>0</v>
      </c>
      <c r="AG103" s="52"/>
      <c r="AH103" s="52"/>
      <c r="AI103" s="52">
        <v>0</v>
      </c>
      <c r="AJ103" s="52"/>
      <c r="AK103" s="53"/>
      <c r="AL103" s="53"/>
      <c r="AM103" s="53"/>
      <c r="AN103" s="53"/>
      <c r="AO103" s="53"/>
      <c r="AP103" s="53"/>
      <c r="AQ103" s="53"/>
      <c r="AR103" s="53"/>
      <c r="AS103" s="53"/>
      <c r="AT103" s="45"/>
      <c r="AU103" s="74"/>
    </row>
    <row r="104" spans="4:48" x14ac:dyDescent="0.2">
      <c r="D104" s="64" t="s">
        <v>74</v>
      </c>
      <c r="E104" s="50">
        <v>50.885514520000001</v>
      </c>
      <c r="F104" s="50">
        <v>43.158991659999998</v>
      </c>
      <c r="G104" s="50">
        <v>37.15997745</v>
      </c>
      <c r="H104" s="50">
        <v>41.427985370000002</v>
      </c>
      <c r="I104" s="50">
        <v>41.427985369999995</v>
      </c>
      <c r="J104" s="50">
        <f>+J26</f>
        <v>41.75162152</v>
      </c>
      <c r="K104" s="50">
        <v>43.250728259999995</v>
      </c>
      <c r="L104" s="50"/>
      <c r="M104" s="50">
        <v>39.820997740000003</v>
      </c>
      <c r="N104" s="50">
        <v>35.319358549999997</v>
      </c>
      <c r="O104" s="50">
        <v>34.577951880000001</v>
      </c>
      <c r="P104" s="50"/>
      <c r="Q104" s="50">
        <v>32.19763451</v>
      </c>
      <c r="R104" s="50">
        <v>27.082633770000001</v>
      </c>
      <c r="S104" s="50">
        <v>24.673404690000002</v>
      </c>
      <c r="T104" s="50"/>
      <c r="U104" s="50">
        <v>27.506565340000002</v>
      </c>
      <c r="V104" s="50"/>
      <c r="W104" s="50"/>
      <c r="X104" s="50">
        <v>33.046603310000002</v>
      </c>
      <c r="Y104" s="50"/>
      <c r="Z104" s="50"/>
      <c r="AA104" s="50">
        <v>34.636026489999999</v>
      </c>
      <c r="AB104" s="50">
        <v>37.614173100000002</v>
      </c>
      <c r="AC104" s="50">
        <f t="shared" si="27"/>
        <v>216.75704121000001</v>
      </c>
      <c r="AD104" s="50"/>
      <c r="AE104" s="52">
        <v>43.890970289999998</v>
      </c>
      <c r="AF104" s="52">
        <v>48.734782449999997</v>
      </c>
      <c r="AG104" s="52"/>
      <c r="AH104" s="52"/>
      <c r="AI104" s="52">
        <v>43.503017470000003</v>
      </c>
      <c r="AJ104" s="52"/>
      <c r="AK104" s="53"/>
      <c r="AL104" s="53"/>
      <c r="AM104" s="53"/>
      <c r="AN104" s="53"/>
      <c r="AO104" s="53"/>
      <c r="AP104" s="53"/>
      <c r="AQ104" s="53"/>
      <c r="AR104" s="53"/>
      <c r="AS104" s="53"/>
      <c r="AT104" s="45"/>
      <c r="AU104" s="74"/>
    </row>
    <row r="105" spans="4:48" x14ac:dyDescent="0.2">
      <c r="D105" s="95" t="s">
        <v>150</v>
      </c>
      <c r="E105" s="96">
        <f t="shared" ref="E105:AJ105" si="28">SUM(E97:E104)</f>
        <v>249.98916232207785</v>
      </c>
      <c r="F105" s="96">
        <f t="shared" si="28"/>
        <v>111.13931855277249</v>
      </c>
      <c r="G105" s="96">
        <f t="shared" si="28"/>
        <v>-4.0822312463961907</v>
      </c>
      <c r="H105" s="96">
        <f t="shared" si="28"/>
        <v>81.154880486321517</v>
      </c>
      <c r="I105" s="96">
        <f t="shared" si="28"/>
        <v>81.155465969999995</v>
      </c>
      <c r="J105" s="96">
        <f t="shared" si="28"/>
        <v>97.87675852000001</v>
      </c>
      <c r="K105" s="96">
        <f t="shared" si="28"/>
        <v>129.18259960999998</v>
      </c>
      <c r="L105" s="96">
        <f t="shared" si="28"/>
        <v>77.63925682</v>
      </c>
      <c r="M105" s="96">
        <f t="shared" si="28"/>
        <v>36.519294479999999</v>
      </c>
      <c r="N105" s="96">
        <f t="shared" si="28"/>
        <v>-77.007019299999996</v>
      </c>
      <c r="O105" s="96">
        <f t="shared" si="28"/>
        <v>-93.666021459999996</v>
      </c>
      <c r="P105" s="96">
        <f t="shared" si="28"/>
        <v>0</v>
      </c>
      <c r="Q105" s="96">
        <f t="shared" si="28"/>
        <v>-87.617137590000013</v>
      </c>
      <c r="R105" s="96">
        <f t="shared" si="28"/>
        <v>-206.14377794000001</v>
      </c>
      <c r="S105" s="96">
        <f t="shared" si="28"/>
        <v>-240.39713606999996</v>
      </c>
      <c r="T105" s="96">
        <f t="shared" si="28"/>
        <v>0</v>
      </c>
      <c r="U105" s="96">
        <f t="shared" si="28"/>
        <v>-189.41604651</v>
      </c>
      <c r="V105" s="96">
        <f t="shared" si="28"/>
        <v>0</v>
      </c>
      <c r="W105" s="96">
        <f t="shared" si="28"/>
        <v>0</v>
      </c>
      <c r="X105" s="96">
        <f t="shared" si="28"/>
        <v>-70.045004979999987</v>
      </c>
      <c r="Y105" s="96">
        <f t="shared" si="28"/>
        <v>0</v>
      </c>
      <c r="Z105" s="96">
        <f t="shared" si="28"/>
        <v>0</v>
      </c>
      <c r="AA105" s="96">
        <f t="shared" si="28"/>
        <v>79.388208599999999</v>
      </c>
      <c r="AB105" s="96">
        <f t="shared" si="28"/>
        <v>31.629765220000003</v>
      </c>
      <c r="AC105" s="96">
        <f t="shared" si="28"/>
        <v>-682.60112926999977</v>
      </c>
      <c r="AD105" s="96">
        <f t="shared" si="28"/>
        <v>0</v>
      </c>
      <c r="AE105" s="96">
        <f t="shared" si="28"/>
        <v>174.84452139000001</v>
      </c>
      <c r="AF105" s="96">
        <f t="shared" si="28"/>
        <v>207.19958222000002</v>
      </c>
      <c r="AG105" s="96">
        <f t="shared" si="28"/>
        <v>0</v>
      </c>
      <c r="AH105" s="96">
        <f t="shared" si="28"/>
        <v>0</v>
      </c>
      <c r="AI105" s="96">
        <f t="shared" si="28"/>
        <v>171.81503146</v>
      </c>
      <c r="AJ105" s="96">
        <f t="shared" si="28"/>
        <v>0</v>
      </c>
      <c r="AK105" s="53"/>
      <c r="AL105" s="59"/>
      <c r="AM105" s="59"/>
      <c r="AN105" s="59"/>
      <c r="AO105" s="59"/>
      <c r="AP105" s="59"/>
      <c r="AQ105" s="59"/>
      <c r="AR105" s="59"/>
      <c r="AS105" s="59"/>
      <c r="AT105" s="60"/>
      <c r="AU105" s="74">
        <v>132952424.83</v>
      </c>
    </row>
    <row r="106" spans="4:48" ht="13.5" thickBot="1" x14ac:dyDescent="0.25">
      <c r="D106" s="73" t="s">
        <v>151</v>
      </c>
      <c r="E106" s="96"/>
      <c r="F106" s="97"/>
      <c r="G106" s="97"/>
      <c r="H106" s="97"/>
      <c r="I106" s="97"/>
      <c r="J106" s="96"/>
      <c r="K106" s="96"/>
      <c r="L106" s="96"/>
      <c r="M106" s="96"/>
      <c r="N106" s="96"/>
      <c r="O106" s="96"/>
      <c r="P106" s="96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96"/>
      <c r="AJ106" s="96"/>
      <c r="AK106" s="53"/>
      <c r="AL106" s="59"/>
      <c r="AM106" s="59"/>
      <c r="AN106" s="59"/>
      <c r="AO106" s="59"/>
      <c r="AP106" s="59"/>
      <c r="AQ106" s="59"/>
      <c r="AR106" s="59"/>
      <c r="AS106" s="59"/>
      <c r="AT106" s="60"/>
      <c r="AU106" s="74"/>
    </row>
    <row r="107" spans="4:48" ht="13.5" thickBot="1" x14ac:dyDescent="0.25">
      <c r="D107" s="98" t="s">
        <v>152</v>
      </c>
      <c r="E107" s="99">
        <v>48.168900260000001</v>
      </c>
      <c r="F107" s="99">
        <v>37.028487599999998</v>
      </c>
      <c r="G107" s="99">
        <v>47.819721339999994</v>
      </c>
      <c r="H107" s="99">
        <v>46.058223179999999</v>
      </c>
      <c r="I107" s="99">
        <v>39.263824730000003</v>
      </c>
      <c r="J107" s="99">
        <v>41.642938270000002</v>
      </c>
      <c r="K107" s="99">
        <v>44.154581770000007</v>
      </c>
      <c r="L107" s="99">
        <v>45.481813820000006</v>
      </c>
      <c r="M107" s="99">
        <v>45.919020969999998</v>
      </c>
      <c r="N107" s="99">
        <v>47.326859940000006</v>
      </c>
      <c r="O107" s="99">
        <v>49.188040389999998</v>
      </c>
      <c r="P107" s="99">
        <v>57.98209447</v>
      </c>
      <c r="Q107" s="99">
        <v>47.302789799999999</v>
      </c>
      <c r="R107" s="99">
        <v>37.723073939999992</v>
      </c>
      <c r="S107" s="99">
        <v>42.016149080000005</v>
      </c>
      <c r="T107" s="99">
        <v>41.982062620000008</v>
      </c>
      <c r="U107" s="99">
        <v>38.585128709999992</v>
      </c>
      <c r="V107" s="99">
        <v>42.90146404</v>
      </c>
      <c r="W107" s="99">
        <v>43.52570583</v>
      </c>
      <c r="X107" s="99">
        <v>39.369261039999998</v>
      </c>
      <c r="Y107" s="99">
        <v>47.021065100000001</v>
      </c>
      <c r="Z107" s="99">
        <v>49.195019080000002</v>
      </c>
      <c r="AA107" s="99">
        <v>59.502862239999999</v>
      </c>
      <c r="AB107" s="99">
        <v>53.843674570000005</v>
      </c>
      <c r="AC107" s="99">
        <f t="shared" ref="AC107:AC108" si="29">SUM(Q107:AB107)</f>
        <v>542.96825605000004</v>
      </c>
      <c r="AD107" s="99">
        <v>52.898463210000003</v>
      </c>
      <c r="AE107" s="100">
        <v>53.326365169999995</v>
      </c>
      <c r="AF107" s="100">
        <v>42.763340529999994</v>
      </c>
      <c r="AG107" s="100">
        <v>49.439777599999999</v>
      </c>
      <c r="AH107" s="100">
        <v>54.120616139999996</v>
      </c>
      <c r="AI107" s="100">
        <v>53.4856847</v>
      </c>
      <c r="AJ107" s="100">
        <v>28.24846625</v>
      </c>
      <c r="AK107" s="53"/>
      <c r="AL107" s="101"/>
      <c r="AM107" s="101">
        <f>+R107+Q107</f>
        <v>85.025863739999991</v>
      </c>
      <c r="AN107" s="101"/>
      <c r="AO107" s="101"/>
      <c r="AP107" s="101"/>
      <c r="AQ107" s="101"/>
      <c r="AR107" s="101"/>
      <c r="AS107" s="101"/>
      <c r="AT107" s="60">
        <f>+O107/$O$137</f>
        <v>1.0826435116112585</v>
      </c>
      <c r="AU107" s="74"/>
    </row>
    <row r="108" spans="4:48" x14ac:dyDescent="0.2">
      <c r="D108" s="98" t="s">
        <v>153</v>
      </c>
      <c r="E108" s="96">
        <v>3.7061999999999999</v>
      </c>
      <c r="F108" s="96">
        <v>17.1235</v>
      </c>
      <c r="G108" s="96">
        <v>18.805</v>
      </c>
      <c r="H108" s="96">
        <v>10.283393</v>
      </c>
      <c r="I108" s="96">
        <v>20.958025000000003</v>
      </c>
      <c r="J108" s="96">
        <v>39.63947529</v>
      </c>
      <c r="K108" s="96">
        <v>30.490628559999998</v>
      </c>
      <c r="L108" s="96">
        <v>30.656945799999999</v>
      </c>
      <c r="M108" s="96">
        <v>30.980899999999998</v>
      </c>
      <c r="N108" s="96">
        <v>15.71077</v>
      </c>
      <c r="O108" s="96">
        <v>16.681489799999998</v>
      </c>
      <c r="P108" s="96">
        <v>33.002030099999999</v>
      </c>
      <c r="Q108" s="96">
        <v>12.303000000000001</v>
      </c>
      <c r="R108" s="96">
        <v>7.51E-2</v>
      </c>
      <c r="S108" s="96">
        <v>41.621316660000005</v>
      </c>
      <c r="T108" s="96">
        <v>36.611575240000008</v>
      </c>
      <c r="U108" s="96">
        <v>39.603766659999991</v>
      </c>
      <c r="V108" s="96">
        <v>9.5555000000000003</v>
      </c>
      <c r="W108" s="96">
        <v>8.9495000000000005E-2</v>
      </c>
      <c r="X108" s="96">
        <v>4.5643190599999999</v>
      </c>
      <c r="Y108" s="96">
        <v>15.765930519999998</v>
      </c>
      <c r="Z108" s="96">
        <v>20.430591519999997</v>
      </c>
      <c r="AA108" s="96">
        <v>22.940713899999999</v>
      </c>
      <c r="AB108" s="96">
        <v>26.567894150000001</v>
      </c>
      <c r="AC108" s="99">
        <f t="shared" si="29"/>
        <v>230.12920270999999</v>
      </c>
      <c r="AD108" s="96">
        <v>20.328446499999998</v>
      </c>
      <c r="AE108" s="102">
        <v>24.23</v>
      </c>
      <c r="AF108" s="102">
        <v>14.386700000000001</v>
      </c>
      <c r="AG108" s="102">
        <v>10.552</v>
      </c>
      <c r="AH108" s="102">
        <v>28.274165919999998</v>
      </c>
      <c r="AI108" s="102">
        <v>20.57</v>
      </c>
      <c r="AJ108" s="102">
        <v>15.252789999999999</v>
      </c>
      <c r="AK108" s="53"/>
      <c r="AL108" s="59"/>
      <c r="AM108" s="59"/>
      <c r="AN108" s="59"/>
      <c r="AO108" s="59"/>
      <c r="AP108" s="59"/>
      <c r="AQ108" s="59"/>
      <c r="AR108" s="59"/>
      <c r="AS108" s="59"/>
      <c r="AT108" s="60">
        <f>+O108/$O$137</f>
        <v>0.3671645902700168</v>
      </c>
      <c r="AU108" s="74"/>
    </row>
    <row r="109" spans="4:48" x14ac:dyDescent="0.2">
      <c r="D109" s="103" t="s">
        <v>154</v>
      </c>
      <c r="E109" s="104">
        <f t="shared" ref="E109:AJ109" si="30">+E96+E105+E107+E108</f>
        <v>386.48509101906888</v>
      </c>
      <c r="F109" s="72">
        <f t="shared" si="30"/>
        <v>213.03864984847152</v>
      </c>
      <c r="G109" s="72">
        <f t="shared" si="30"/>
        <v>109.3937572035808</v>
      </c>
      <c r="H109" s="72">
        <f t="shared" si="30"/>
        <v>924.91655729108174</v>
      </c>
      <c r="I109" s="72">
        <f t="shared" si="30"/>
        <v>896.31454257898906</v>
      </c>
      <c r="J109" s="72">
        <f t="shared" si="30"/>
        <v>968.84829874341006</v>
      </c>
      <c r="K109" s="72">
        <f t="shared" si="30"/>
        <v>972.27889277555607</v>
      </c>
      <c r="L109" s="72">
        <f t="shared" si="30"/>
        <v>941.53087811337184</v>
      </c>
      <c r="M109" s="72">
        <f t="shared" si="30"/>
        <v>936.54520257481079</v>
      </c>
      <c r="N109" s="72">
        <f t="shared" si="30"/>
        <v>777.88909423430891</v>
      </c>
      <c r="O109" s="72">
        <f t="shared" si="30"/>
        <v>773.88743821767184</v>
      </c>
      <c r="P109" s="72">
        <f t="shared" si="30"/>
        <v>879.05514363518</v>
      </c>
      <c r="Q109" s="72">
        <f t="shared" si="30"/>
        <v>6129.6812307437367</v>
      </c>
      <c r="R109" s="72">
        <f t="shared" si="30"/>
        <v>250.75598337214703</v>
      </c>
      <c r="S109" s="72">
        <f t="shared" si="30"/>
        <v>250.15360997544593</v>
      </c>
      <c r="T109" s="72">
        <f t="shared" si="30"/>
        <v>1210.424332547336</v>
      </c>
      <c r="U109" s="72">
        <f t="shared" si="30"/>
        <v>1029.6391936776231</v>
      </c>
      <c r="V109" s="72">
        <f t="shared" si="30"/>
        <v>1181.4606374174871</v>
      </c>
      <c r="W109" s="72">
        <f t="shared" si="30"/>
        <v>1168.6200737226275</v>
      </c>
      <c r="X109" s="72">
        <f t="shared" si="30"/>
        <v>1154.994373031343</v>
      </c>
      <c r="Y109" s="72">
        <f t="shared" si="30"/>
        <v>1219.4535506641721</v>
      </c>
      <c r="Z109" s="72">
        <f t="shared" si="30"/>
        <v>1244.6465906191399</v>
      </c>
      <c r="AA109" s="72">
        <f t="shared" si="30"/>
        <v>1308.4625059967996</v>
      </c>
      <c r="AB109" s="72">
        <f t="shared" si="30"/>
        <v>1488.490998490912</v>
      </c>
      <c r="AC109" s="72">
        <f t="shared" si="30"/>
        <v>17636.78308025877</v>
      </c>
      <c r="AD109" s="72">
        <f t="shared" si="30"/>
        <v>6325.1923165304206</v>
      </c>
      <c r="AE109" s="72">
        <f t="shared" si="30"/>
        <v>648.56352039833928</v>
      </c>
      <c r="AF109" s="72">
        <f t="shared" si="30"/>
        <v>652.38958148908705</v>
      </c>
      <c r="AG109" s="72">
        <f t="shared" si="30"/>
        <v>1193.2469678897357</v>
      </c>
      <c r="AH109" s="72">
        <f t="shared" si="30"/>
        <v>1247.1440370858022</v>
      </c>
      <c r="AI109" s="72">
        <f t="shared" si="30"/>
        <v>1519.9599084899291</v>
      </c>
      <c r="AJ109" s="72">
        <f t="shared" si="30"/>
        <v>1181.0241520385164</v>
      </c>
      <c r="AK109" s="53"/>
      <c r="AL109" s="59"/>
      <c r="AM109" s="59"/>
      <c r="AN109" s="59"/>
      <c r="AO109" s="59"/>
      <c r="AP109" s="59"/>
      <c r="AQ109" s="59"/>
      <c r="AR109" s="59"/>
      <c r="AS109" s="59"/>
      <c r="AT109" s="60">
        <f>+O109/$O$137</f>
        <v>17.033494464523454</v>
      </c>
      <c r="AU109" s="74">
        <v>-19.095111670414951</v>
      </c>
      <c r="AV109" s="28">
        <f>+AU109+AT109</f>
        <v>-2.0616172058914977</v>
      </c>
    </row>
    <row r="110" spans="4:48" x14ac:dyDescent="0.2">
      <c r="D110" s="90" t="s">
        <v>155</v>
      </c>
      <c r="E110" s="105">
        <f t="shared" ref="E110:AJ110" si="31">+E53+E84+E109</f>
        <v>9528.7239293951206</v>
      </c>
      <c r="F110" s="105">
        <f t="shared" si="31"/>
        <v>2164.9783183136315</v>
      </c>
      <c r="G110" s="105">
        <f t="shared" si="31"/>
        <v>3049.3407605462262</v>
      </c>
      <c r="H110" s="105">
        <f t="shared" si="31"/>
        <v>1928.9747859727058</v>
      </c>
      <c r="I110" s="105">
        <f t="shared" si="31"/>
        <v>3629.8514029190533</v>
      </c>
      <c r="J110" s="105">
        <f t="shared" si="31"/>
        <v>3466.7592310519381</v>
      </c>
      <c r="K110" s="105">
        <f t="shared" si="31"/>
        <v>3653.7448375839781</v>
      </c>
      <c r="L110" s="105">
        <f t="shared" si="31"/>
        <v>3094.5055094443815</v>
      </c>
      <c r="M110" s="105">
        <f t="shared" si="31"/>
        <v>3939.2947489786911</v>
      </c>
      <c r="N110" s="105">
        <f t="shared" si="31"/>
        <v>3580.5259516576007</v>
      </c>
      <c r="O110" s="105">
        <f t="shared" si="31"/>
        <v>2609.5626051481722</v>
      </c>
      <c r="P110" s="105">
        <f t="shared" si="31"/>
        <v>3660.2421676959239</v>
      </c>
      <c r="Q110" s="105">
        <f t="shared" si="31"/>
        <v>8697.9111844105228</v>
      </c>
      <c r="R110" s="105">
        <f t="shared" si="31"/>
        <v>2746.4576021295679</v>
      </c>
      <c r="S110" s="105">
        <f t="shared" si="31"/>
        <v>1911.949971097413</v>
      </c>
      <c r="T110" s="105">
        <f t="shared" si="31"/>
        <v>3182.6407123930467</v>
      </c>
      <c r="U110" s="105">
        <f t="shared" si="31"/>
        <v>3475.0544569154476</v>
      </c>
      <c r="V110" s="105">
        <f t="shared" si="31"/>
        <v>3343.0138540672851</v>
      </c>
      <c r="W110" s="105">
        <f t="shared" si="31"/>
        <v>5229.7646948049078</v>
      </c>
      <c r="X110" s="105">
        <f t="shared" si="31"/>
        <v>3592.1992775645385</v>
      </c>
      <c r="Y110" s="105">
        <f t="shared" si="31"/>
        <v>3604.9573958795672</v>
      </c>
      <c r="Z110" s="105">
        <f t="shared" si="31"/>
        <v>4039.6330868800796</v>
      </c>
      <c r="AA110" s="105">
        <f t="shared" si="31"/>
        <v>4568.6560358856486</v>
      </c>
      <c r="AB110" s="105">
        <f t="shared" si="31"/>
        <v>3600.850956056066</v>
      </c>
      <c r="AC110" s="105">
        <f t="shared" si="31"/>
        <v>47993.0892280841</v>
      </c>
      <c r="AD110" s="105">
        <f t="shared" si="31"/>
        <v>8253.4880262343613</v>
      </c>
      <c r="AE110" s="105">
        <f t="shared" si="31"/>
        <v>2783.1596195401262</v>
      </c>
      <c r="AF110" s="105">
        <f t="shared" si="31"/>
        <v>4487.1123797485898</v>
      </c>
      <c r="AG110" s="105">
        <f t="shared" si="31"/>
        <v>3661.1419315991106</v>
      </c>
      <c r="AH110" s="105">
        <f t="shared" si="31"/>
        <v>3296.1435924355137</v>
      </c>
      <c r="AI110" s="105">
        <f t="shared" si="31"/>
        <v>4867.8424466050365</v>
      </c>
      <c r="AJ110" s="105">
        <f t="shared" si="31"/>
        <v>2689.7851274351692</v>
      </c>
      <c r="AK110" s="53"/>
      <c r="AL110" s="106"/>
      <c r="AM110" s="106"/>
      <c r="AN110" s="106"/>
      <c r="AO110" s="106"/>
      <c r="AP110" s="106"/>
      <c r="AQ110" s="106"/>
      <c r="AR110" s="106"/>
      <c r="AS110" s="106"/>
      <c r="AT110" s="107">
        <f>+O110/$O$137</f>
        <v>57.437255076772963</v>
      </c>
      <c r="AU110" s="74"/>
      <c r="AV110" s="28"/>
    </row>
    <row r="111" spans="4:48" x14ac:dyDescent="0.2">
      <c r="D111" s="108" t="s">
        <v>152</v>
      </c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2"/>
      <c r="AF111" s="52"/>
      <c r="AG111" s="52"/>
      <c r="AH111" s="52"/>
      <c r="AI111" s="52"/>
      <c r="AJ111" s="52"/>
      <c r="AK111" s="53"/>
      <c r="AL111" s="53"/>
      <c r="AM111" s="53"/>
      <c r="AN111" s="53"/>
      <c r="AO111" s="53"/>
      <c r="AP111" s="53"/>
      <c r="AQ111" s="53"/>
      <c r="AR111" s="53"/>
      <c r="AS111" s="53"/>
      <c r="AT111" s="45"/>
      <c r="AU111" s="74"/>
    </row>
    <row r="112" spans="4:48" x14ac:dyDescent="0.2">
      <c r="D112" s="109" t="s">
        <v>156</v>
      </c>
      <c r="E112" s="110">
        <f t="shared" ref="E112:AJ112" si="32">+E42-E110</f>
        <v>-1265.4923208621058</v>
      </c>
      <c r="F112" s="110">
        <f t="shared" si="32"/>
        <v>113.07635444640619</v>
      </c>
      <c r="G112" s="110">
        <f t="shared" si="32"/>
        <v>-621.62459435262235</v>
      </c>
      <c r="H112" s="110">
        <f t="shared" si="32"/>
        <v>36.196176243615582</v>
      </c>
      <c r="I112" s="110">
        <f t="shared" si="32"/>
        <v>-787.1506931849508</v>
      </c>
      <c r="J112" s="110">
        <f t="shared" si="32"/>
        <v>-430.26322963675284</v>
      </c>
      <c r="K112" s="110">
        <f t="shared" si="32"/>
        <v>-388.39235076612749</v>
      </c>
      <c r="L112" s="110">
        <f t="shared" si="32"/>
        <v>-6.3904120295319444E-2</v>
      </c>
      <c r="M112" s="110">
        <f t="shared" si="32"/>
        <v>-873.86436613513615</v>
      </c>
      <c r="N112" s="110">
        <f t="shared" si="32"/>
        <v>-466.32233829550069</v>
      </c>
      <c r="O112" s="110">
        <f t="shared" si="32"/>
        <v>290.04853181936687</v>
      </c>
      <c r="P112" s="110">
        <f t="shared" si="32"/>
        <v>-29.787039429701963</v>
      </c>
      <c r="Q112" s="110">
        <f t="shared" si="32"/>
        <v>-750.66987334127316</v>
      </c>
      <c r="R112" s="110">
        <f t="shared" si="32"/>
        <v>-784.97813603956888</v>
      </c>
      <c r="S112" s="110">
        <f t="shared" si="32"/>
        <v>59.850685282586483</v>
      </c>
      <c r="T112" s="111">
        <f t="shared" si="32"/>
        <v>-1126.5178077530459</v>
      </c>
      <c r="U112" s="111">
        <f t="shared" si="32"/>
        <v>-712.04255562826347</v>
      </c>
      <c r="V112" s="111">
        <f t="shared" si="32"/>
        <v>-364.5705547253956</v>
      </c>
      <c r="W112" s="111">
        <f t="shared" si="32"/>
        <v>-2064.4954152438145</v>
      </c>
      <c r="X112" s="111">
        <f t="shared" si="32"/>
        <v>-194.30090000878727</v>
      </c>
      <c r="Y112" s="111">
        <f t="shared" si="32"/>
        <v>-607.12046098874725</v>
      </c>
      <c r="Z112" s="111">
        <f t="shared" si="32"/>
        <v>-765.38180143264935</v>
      </c>
      <c r="AA112" s="111">
        <f t="shared" si="32"/>
        <v>-1285.6464107048582</v>
      </c>
      <c r="AB112" s="111">
        <f t="shared" si="32"/>
        <v>-218.06066163390187</v>
      </c>
      <c r="AC112" s="112">
        <f t="shared" si="32"/>
        <v>-8813.9338922177267</v>
      </c>
      <c r="AD112" s="112">
        <f t="shared" si="32"/>
        <v>337.49497777986289</v>
      </c>
      <c r="AE112" s="112">
        <f t="shared" si="32"/>
        <v>-560.18273778012599</v>
      </c>
      <c r="AF112" s="112">
        <f t="shared" si="32"/>
        <v>-1869.2366246285897</v>
      </c>
      <c r="AG112" s="112">
        <f t="shared" si="32"/>
        <v>-1575.4115332951728</v>
      </c>
      <c r="AH112" s="110">
        <f t="shared" si="32"/>
        <v>47.205517859730207</v>
      </c>
      <c r="AI112" s="110">
        <f t="shared" si="32"/>
        <v>-826.17188351825007</v>
      </c>
      <c r="AJ112" s="110">
        <f t="shared" si="32"/>
        <v>-336.79623437516875</v>
      </c>
      <c r="AK112" s="53"/>
      <c r="AL112" s="113"/>
      <c r="AM112" s="113"/>
      <c r="AN112" s="113"/>
      <c r="AO112" s="113"/>
      <c r="AP112" s="113"/>
      <c r="AQ112" s="113"/>
      <c r="AR112" s="113"/>
      <c r="AS112" s="113"/>
      <c r="AT112" s="114">
        <f>+P112/$P$137</f>
        <v>-0.65426189835423187</v>
      </c>
      <c r="AU112" s="74">
        <v>6.3840551186188321</v>
      </c>
      <c r="AV112" s="74">
        <v>-72.369175299999995</v>
      </c>
    </row>
    <row r="113" spans="4:47" x14ac:dyDescent="0.2">
      <c r="D113" s="73" t="s">
        <v>157</v>
      </c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2"/>
      <c r="AF113" s="52"/>
      <c r="AG113" s="52"/>
      <c r="AH113" s="52"/>
      <c r="AI113" s="52"/>
      <c r="AJ113" s="115"/>
      <c r="AK113" s="53"/>
      <c r="AL113" s="53"/>
      <c r="AM113" s="53"/>
      <c r="AN113" s="53"/>
      <c r="AO113" s="53"/>
      <c r="AP113" s="53"/>
      <c r="AQ113" s="53"/>
      <c r="AR113" s="53"/>
      <c r="AS113" s="53"/>
      <c r="AT113" s="45"/>
      <c r="AU113" s="116">
        <f>+AT112-AU112</f>
        <v>-7.038317016973064</v>
      </c>
    </row>
    <row r="114" spans="4:47" x14ac:dyDescent="0.2">
      <c r="D114" s="73" t="s">
        <v>158</v>
      </c>
      <c r="E114" s="117">
        <v>305.25576646499701</v>
      </c>
      <c r="F114" s="118">
        <v>210.58620321708099</v>
      </c>
      <c r="G114" s="118">
        <f>+F120</f>
        <v>294.8893575134872</v>
      </c>
      <c r="H114" s="118">
        <f>+G120</f>
        <v>357.64153638086486</v>
      </c>
      <c r="I114" s="118">
        <v>327.82025245448</v>
      </c>
      <c r="J114" s="117">
        <v>255.897602999529</v>
      </c>
      <c r="K114" s="117">
        <v>326.65493649277602</v>
      </c>
      <c r="L114" s="117">
        <f>+K120</f>
        <v>294.17882107664855</v>
      </c>
      <c r="M114" s="117">
        <f>+L120</f>
        <v>610.09766165635324</v>
      </c>
      <c r="N114" s="117">
        <f>+M120</f>
        <v>315.9878249265771</v>
      </c>
      <c r="O114" s="117">
        <f>+N120</f>
        <v>421.59141337732638</v>
      </c>
      <c r="P114" s="117">
        <f>+O120</f>
        <v>705.32325652669329</v>
      </c>
      <c r="Q114" s="117">
        <v>1135.3073541369899</v>
      </c>
      <c r="R114" s="117">
        <f t="shared" ref="R114:Z114" si="33">+Q120</f>
        <v>763.37377878571669</v>
      </c>
      <c r="S114" s="117">
        <f t="shared" si="33"/>
        <v>1344.8943182179739</v>
      </c>
      <c r="T114" s="117">
        <f t="shared" si="33"/>
        <v>1333.3181962605604</v>
      </c>
      <c r="U114" s="117">
        <f t="shared" si="33"/>
        <v>599.07414629751452</v>
      </c>
      <c r="V114" s="117">
        <f t="shared" si="33"/>
        <v>716.29708907925101</v>
      </c>
      <c r="W114" s="117">
        <f t="shared" si="33"/>
        <v>685.76120737745555</v>
      </c>
      <c r="X114" s="117">
        <f t="shared" si="33"/>
        <v>1138.0955632461851</v>
      </c>
      <c r="Y114" s="117">
        <f t="shared" si="33"/>
        <v>1204.3486921879899</v>
      </c>
      <c r="Z114" s="117">
        <f t="shared" si="33"/>
        <v>1065.6849463492426</v>
      </c>
      <c r="AA114" s="117">
        <f>+Z120</f>
        <v>1081.0116018099534</v>
      </c>
      <c r="AB114" s="117">
        <f>+AA120</f>
        <v>911.25669970398167</v>
      </c>
      <c r="AC114" s="117">
        <f>+X120</f>
        <v>1204.3486921879899</v>
      </c>
      <c r="AD114" s="117">
        <v>634.24676929338386</v>
      </c>
      <c r="AE114" s="117">
        <v>634.24676929338386</v>
      </c>
      <c r="AF114" s="117">
        <v>1018.3507125955998</v>
      </c>
      <c r="AG114" s="117">
        <v>934.03172414880692</v>
      </c>
      <c r="AH114" s="117">
        <v>935.03172414880703</v>
      </c>
      <c r="AI114" s="119">
        <v>655.74917183950765</v>
      </c>
      <c r="AJ114" s="119">
        <v>1193.60656269636</v>
      </c>
      <c r="AK114" s="53"/>
      <c r="AL114" s="101"/>
      <c r="AM114" s="101"/>
      <c r="AN114" s="101"/>
      <c r="AO114" s="101"/>
      <c r="AP114" s="101"/>
      <c r="AQ114" s="101"/>
      <c r="AR114" s="101"/>
      <c r="AS114" s="101"/>
      <c r="AT114" s="60"/>
      <c r="AU114" s="74"/>
    </row>
    <row r="115" spans="4:47" x14ac:dyDescent="0.2">
      <c r="D115" s="120" t="s">
        <v>159</v>
      </c>
      <c r="E115" s="121">
        <v>-47.101026529999999</v>
      </c>
      <c r="F115" s="122">
        <v>-28.773200150000001</v>
      </c>
      <c r="G115" s="122">
        <v>-102.92288678</v>
      </c>
      <c r="H115" s="122">
        <v>-66.017460170000007</v>
      </c>
      <c r="I115" s="122">
        <v>-117.44524297</v>
      </c>
      <c r="J115" s="121">
        <v>-64.76605687</v>
      </c>
      <c r="K115" s="121">
        <v>-45.141794650000001</v>
      </c>
      <c r="L115" s="121">
        <v>-72.369175299999995</v>
      </c>
      <c r="M115" s="121">
        <v>-43.45485059464</v>
      </c>
      <c r="N115" s="121">
        <v>-21.557783253749999</v>
      </c>
      <c r="O115" s="121">
        <v>-6.3166886699999996</v>
      </c>
      <c r="P115" s="121">
        <v>-132.95242483000001</v>
      </c>
      <c r="Q115" s="121">
        <f>-176.72902879-148.32237322</f>
        <v>-325.05140201</v>
      </c>
      <c r="R115" s="121">
        <v>-24.31936451</v>
      </c>
      <c r="S115" s="121">
        <v>-71.426807240000002</v>
      </c>
      <c r="T115" s="121">
        <v>-53.18220221</v>
      </c>
      <c r="U115" s="121">
        <v>-62.147457590000002</v>
      </c>
      <c r="V115" s="121">
        <v>-31.572108459999999</v>
      </c>
      <c r="W115" s="121">
        <v>-26.02188924</v>
      </c>
      <c r="X115" s="121">
        <v>-100.65178783</v>
      </c>
      <c r="Y115" s="121">
        <v>-12.493530850000001</v>
      </c>
      <c r="Z115" s="123">
        <v>-69.550611790000005</v>
      </c>
      <c r="AA115" s="123">
        <v>-101.04179622000001</v>
      </c>
      <c r="AB115" s="124">
        <v>-59.001926509999905</v>
      </c>
      <c r="AC115" s="121">
        <f t="shared" ref="AC115:AC119" si="34">SUM(Q115:AB115)</f>
        <v>-936.46088445999976</v>
      </c>
      <c r="AD115" s="121">
        <v>-17.179068940000001</v>
      </c>
      <c r="AE115" s="125">
        <v>-79.921917370000003</v>
      </c>
      <c r="AF115" s="125">
        <v>-138.17147499000001</v>
      </c>
      <c r="AG115" s="125">
        <v>-108.42387065</v>
      </c>
      <c r="AH115" s="125">
        <v>-89.687499829999993</v>
      </c>
      <c r="AI115" s="125">
        <v>-89.687499829999993</v>
      </c>
      <c r="AJ115" s="125">
        <v>-254.58797429000001</v>
      </c>
      <c r="AK115" s="53"/>
      <c r="AL115" s="126"/>
      <c r="AM115" s="126"/>
      <c r="AN115" s="126"/>
      <c r="AO115" s="126"/>
      <c r="AP115" s="126"/>
      <c r="AQ115" s="126"/>
      <c r="AR115" s="126"/>
      <c r="AS115" s="126">
        <f>+R115+R112+R119</f>
        <v>581.52053943225701</v>
      </c>
      <c r="AT115" s="127"/>
      <c r="AU115" s="128">
        <f>+P115+P112</f>
        <v>-162.73946425970198</v>
      </c>
    </row>
    <row r="116" spans="4:47" x14ac:dyDescent="0.2">
      <c r="D116" s="129" t="s">
        <v>160</v>
      </c>
      <c r="E116" s="130">
        <v>0</v>
      </c>
      <c r="F116" s="130">
        <v>0</v>
      </c>
      <c r="G116" s="130">
        <v>0</v>
      </c>
      <c r="H116" s="130">
        <v>0</v>
      </c>
      <c r="I116" s="130">
        <v>0</v>
      </c>
      <c r="J116" s="130">
        <v>0</v>
      </c>
      <c r="K116" s="130">
        <v>0</v>
      </c>
      <c r="L116" s="130">
        <v>0</v>
      </c>
      <c r="M116" s="130">
        <v>0</v>
      </c>
      <c r="N116" s="130">
        <v>0</v>
      </c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1"/>
      <c r="AF116" s="131"/>
      <c r="AG116" s="131"/>
      <c r="AH116" s="131"/>
      <c r="AI116" s="131"/>
      <c r="AJ116" s="131"/>
      <c r="AK116" s="53"/>
      <c r="AL116" s="132"/>
      <c r="AM116" s="132"/>
      <c r="AN116" s="132"/>
      <c r="AO116" s="132"/>
      <c r="AP116" s="132"/>
      <c r="AQ116" s="132"/>
      <c r="AR116" s="132"/>
      <c r="AS116" s="132"/>
      <c r="AT116" s="114"/>
      <c r="AU116" s="74"/>
    </row>
    <row r="117" spans="4:47" x14ac:dyDescent="0.2">
      <c r="D117" s="129" t="s">
        <v>161</v>
      </c>
      <c r="E117" s="130">
        <v>0</v>
      </c>
      <c r="F117" s="130">
        <v>0</v>
      </c>
      <c r="G117" s="130">
        <v>0</v>
      </c>
      <c r="H117" s="130">
        <v>0</v>
      </c>
      <c r="I117" s="130">
        <v>0</v>
      </c>
      <c r="J117" s="130">
        <v>0</v>
      </c>
      <c r="K117" s="130">
        <v>0</v>
      </c>
      <c r="L117" s="130">
        <v>0</v>
      </c>
      <c r="M117" s="130">
        <v>0</v>
      </c>
      <c r="N117" s="130">
        <v>0</v>
      </c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1"/>
      <c r="AF117" s="131"/>
      <c r="AG117" s="131"/>
      <c r="AH117" s="131"/>
      <c r="AI117" s="131"/>
      <c r="AJ117" s="131"/>
      <c r="AK117" s="53"/>
      <c r="AL117" s="132"/>
      <c r="AM117" s="132"/>
      <c r="AN117" s="132"/>
      <c r="AO117" s="132"/>
      <c r="AP117" s="132"/>
      <c r="AQ117" s="132"/>
      <c r="AR117" s="132"/>
      <c r="AS117" s="132"/>
      <c r="AT117" s="114"/>
      <c r="AU117" s="74"/>
    </row>
    <row r="118" spans="4:47" x14ac:dyDescent="0.2">
      <c r="D118" s="129" t="s">
        <v>162</v>
      </c>
      <c r="E118" s="130">
        <v>0</v>
      </c>
      <c r="F118" s="130">
        <v>0</v>
      </c>
      <c r="G118" s="130">
        <v>0</v>
      </c>
      <c r="H118" s="130">
        <v>0</v>
      </c>
      <c r="I118" s="130">
        <v>0</v>
      </c>
      <c r="J118" s="130">
        <v>0</v>
      </c>
      <c r="K118" s="130">
        <v>0</v>
      </c>
      <c r="L118" s="130">
        <v>0</v>
      </c>
      <c r="M118" s="130">
        <v>0</v>
      </c>
      <c r="N118" s="130">
        <v>0</v>
      </c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1"/>
      <c r="AF118" s="131"/>
      <c r="AG118" s="131"/>
      <c r="AH118" s="131"/>
      <c r="AI118" s="131"/>
      <c r="AJ118" s="131"/>
      <c r="AK118" s="53"/>
      <c r="AL118" s="132"/>
      <c r="AM118" s="132"/>
      <c r="AN118" s="132"/>
      <c r="AO118" s="132"/>
      <c r="AP118" s="132"/>
      <c r="AQ118" s="132"/>
      <c r="AR118" s="132"/>
      <c r="AS118" s="132"/>
      <c r="AT118" s="114"/>
      <c r="AU118" s="74"/>
    </row>
    <row r="119" spans="4:47" ht="13.5" thickBot="1" x14ac:dyDescent="0.25">
      <c r="D119" s="133" t="s">
        <v>163</v>
      </c>
      <c r="E119" s="134">
        <f>1217.92378414419</f>
        <v>1217.92378414419</v>
      </c>
      <c r="F119" s="135">
        <v>0</v>
      </c>
      <c r="G119" s="135">
        <f>787.29966</f>
        <v>787.29966000000002</v>
      </c>
      <c r="H119" s="135">
        <v>0</v>
      </c>
      <c r="I119" s="135">
        <f>825.42882</f>
        <v>825.42881999999997</v>
      </c>
      <c r="J119" s="136">
        <v>565.78661999999997</v>
      </c>
      <c r="K119" s="136">
        <v>401.05803000000003</v>
      </c>
      <c r="L119" s="136">
        <v>388.35192000000001</v>
      </c>
      <c r="M119" s="136">
        <v>623.20938000000001</v>
      </c>
      <c r="N119" s="136">
        <v>593.48370999999997</v>
      </c>
      <c r="O119" s="136"/>
      <c r="P119" s="136">
        <v>595.51814000000002</v>
      </c>
      <c r="Q119" s="136">
        <v>703.78769999999997</v>
      </c>
      <c r="R119" s="136">
        <v>1390.8180399818259</v>
      </c>
      <c r="S119" s="136"/>
      <c r="T119" s="136">
        <v>445.45596</v>
      </c>
      <c r="U119" s="136">
        <v>891.41295600000001</v>
      </c>
      <c r="V119" s="136">
        <v>365.60678148360006</v>
      </c>
      <c r="W119" s="136">
        <v>2542.8516603525441</v>
      </c>
      <c r="X119" s="136">
        <v>361.20581678059204</v>
      </c>
      <c r="Y119" s="136">
        <v>480.95024599999999</v>
      </c>
      <c r="Z119" s="137">
        <v>850.25906868336006</v>
      </c>
      <c r="AA119" s="137">
        <v>1216.9333048188862</v>
      </c>
      <c r="AB119" s="138">
        <v>0</v>
      </c>
      <c r="AC119" s="136">
        <f t="shared" si="34"/>
        <v>9249.2815341008081</v>
      </c>
      <c r="AD119" s="135"/>
      <c r="AE119" s="139">
        <v>703.8926896124791</v>
      </c>
      <c r="AF119" s="139">
        <v>1923.089111171797</v>
      </c>
      <c r="AG119" s="139">
        <v>1405.5528516358731</v>
      </c>
      <c r="AH119" s="139">
        <v>0</v>
      </c>
      <c r="AI119" s="139">
        <v>1419.93</v>
      </c>
      <c r="AJ119" s="139"/>
      <c r="AK119" s="53"/>
      <c r="AL119" s="140"/>
      <c r="AM119" s="140">
        <f>+R119+Q119</f>
        <v>2094.605739981826</v>
      </c>
      <c r="AN119" s="140"/>
      <c r="AO119" s="140"/>
      <c r="AP119" s="140"/>
      <c r="AQ119" s="140"/>
      <c r="AR119" s="140"/>
      <c r="AS119" s="140"/>
      <c r="AT119" s="114"/>
      <c r="AU119" s="74"/>
    </row>
    <row r="120" spans="4:47" ht="13.5" thickBot="1" x14ac:dyDescent="0.25">
      <c r="D120" s="141" t="s">
        <v>164</v>
      </c>
      <c r="E120" s="142">
        <f t="shared" ref="E120:AB120" si="35">+E119+E118+E117+E116+E115+E114+E112</f>
        <v>210.58620321708122</v>
      </c>
      <c r="F120" s="142">
        <f t="shared" si="35"/>
        <v>294.8893575134872</v>
      </c>
      <c r="G120" s="142">
        <f t="shared" si="35"/>
        <v>357.64153638086486</v>
      </c>
      <c r="H120" s="142">
        <f t="shared" si="35"/>
        <v>327.82025245448045</v>
      </c>
      <c r="I120" s="142">
        <f t="shared" si="35"/>
        <v>248.65313629952925</v>
      </c>
      <c r="J120" s="143">
        <f t="shared" si="35"/>
        <v>326.65493649277619</v>
      </c>
      <c r="K120" s="143">
        <f t="shared" si="35"/>
        <v>294.17882107664855</v>
      </c>
      <c r="L120" s="143">
        <f t="shared" si="35"/>
        <v>610.09766165635324</v>
      </c>
      <c r="M120" s="143">
        <f t="shared" si="35"/>
        <v>315.9878249265771</v>
      </c>
      <c r="N120" s="143">
        <f t="shared" si="35"/>
        <v>421.59141337732638</v>
      </c>
      <c r="O120" s="143">
        <f t="shared" si="35"/>
        <v>705.32325652669329</v>
      </c>
      <c r="P120" s="143">
        <f t="shared" si="35"/>
        <v>1138.1019322669913</v>
      </c>
      <c r="Q120" s="143">
        <f t="shared" si="35"/>
        <v>763.37377878571669</v>
      </c>
      <c r="R120" s="143">
        <f t="shared" si="35"/>
        <v>1344.8943182179739</v>
      </c>
      <c r="S120" s="143">
        <f t="shared" si="35"/>
        <v>1333.3181962605604</v>
      </c>
      <c r="T120" s="143">
        <f t="shared" si="35"/>
        <v>599.07414629751452</v>
      </c>
      <c r="U120" s="143">
        <f t="shared" si="35"/>
        <v>716.29708907925101</v>
      </c>
      <c r="V120" s="143">
        <f t="shared" si="35"/>
        <v>685.76120737745555</v>
      </c>
      <c r="W120" s="143">
        <f t="shared" si="35"/>
        <v>1138.0955632461851</v>
      </c>
      <c r="X120" s="143">
        <f t="shared" si="35"/>
        <v>1204.3486921879899</v>
      </c>
      <c r="Y120" s="143">
        <f t="shared" si="35"/>
        <v>1065.6849463492426</v>
      </c>
      <c r="Z120" s="143">
        <f t="shared" si="35"/>
        <v>1081.0116018099534</v>
      </c>
      <c r="AA120" s="143">
        <f t="shared" si="35"/>
        <v>911.25669970398167</v>
      </c>
      <c r="AB120" s="143">
        <f t="shared" si="35"/>
        <v>634.19411156007993</v>
      </c>
      <c r="AC120" s="143">
        <f t="shared" ref="AC120" si="36">+Q120++R120</f>
        <v>2108.2680970036909</v>
      </c>
      <c r="AD120" s="144">
        <f>+AD112+AD114+AD115-AD119</f>
        <v>954.56267813324678</v>
      </c>
      <c r="AE120" s="144">
        <f>+AE112+AE114+AE115-AE119</f>
        <v>-709.75057546922119</v>
      </c>
      <c r="AF120" s="144">
        <f>+AF112+AF114+AF115-AF119</f>
        <v>-2912.1464981947865</v>
      </c>
      <c r="AG120" s="144">
        <f>+AG112+AG114+AG115-AG119</f>
        <v>-2155.3565314322391</v>
      </c>
      <c r="AH120" s="144">
        <f>+AH112+AH114+AH115-AH119</f>
        <v>892.54974217853726</v>
      </c>
      <c r="AI120" s="144">
        <v>1159.820494451257</v>
      </c>
      <c r="AJ120" s="144">
        <v>602.22235403119123</v>
      </c>
      <c r="AK120" s="53"/>
      <c r="AL120" s="60"/>
      <c r="AM120" s="60"/>
      <c r="AN120" s="60"/>
      <c r="AO120" s="60"/>
      <c r="AP120" s="60"/>
      <c r="AQ120" s="60"/>
      <c r="AR120" s="60"/>
      <c r="AS120" s="60"/>
      <c r="AT120" s="60"/>
      <c r="AU120" s="74"/>
    </row>
    <row r="121" spans="4:47" ht="5.25" customHeight="1" thickBot="1" x14ac:dyDescent="0.25">
      <c r="D121" s="145"/>
      <c r="E121" s="146"/>
      <c r="F121" s="147"/>
      <c r="G121" s="147"/>
      <c r="H121" s="147"/>
      <c r="I121" s="147"/>
      <c r="J121" s="147"/>
      <c r="K121" s="147"/>
      <c r="AK121" s="53"/>
      <c r="AU121" s="74"/>
    </row>
    <row r="122" spans="4:47" ht="21" customHeight="1" thickBot="1" x14ac:dyDescent="0.25">
      <c r="D122" s="74"/>
      <c r="E122" s="148">
        <f t="shared" ref="E122:AI122" si="37">+(E112+E115)/E137</f>
        <v>-29.425117378325542</v>
      </c>
      <c r="F122" s="148">
        <f t="shared" si="37"/>
        <v>1.8783413795913741</v>
      </c>
      <c r="G122" s="148">
        <f t="shared" si="37"/>
        <v>-16.190136867131645</v>
      </c>
      <c r="H122" s="148">
        <f t="shared" si="37"/>
        <v>-0.66569639723263807</v>
      </c>
      <c r="I122" s="148">
        <f t="shared" si="37"/>
        <v>-20.162574833332609</v>
      </c>
      <c r="J122" s="148">
        <f t="shared" si="37"/>
        <v>-11.021504196979905</v>
      </c>
      <c r="K122" s="148">
        <f t="shared" si="37"/>
        <v>-9.6211449409634398</v>
      </c>
      <c r="L122" s="148">
        <f t="shared" si="37"/>
        <v>-1.6045144998326508</v>
      </c>
      <c r="M122" s="148">
        <f t="shared" si="37"/>
        <v>-20.282008433340557</v>
      </c>
      <c r="N122" s="148">
        <f t="shared" si="37"/>
        <v>-10.761929138789517</v>
      </c>
      <c r="O122" s="149">
        <f t="shared" si="37"/>
        <v>6.2450229077557546</v>
      </c>
      <c r="P122" s="149">
        <f t="shared" si="37"/>
        <v>-3.5745153886469549</v>
      </c>
      <c r="Q122" s="149">
        <f t="shared" si="37"/>
        <v>-23.582414608909996</v>
      </c>
      <c r="R122" s="149">
        <f t="shared" si="37"/>
        <v>-17.684074026194466</v>
      </c>
      <c r="S122" s="149">
        <f t="shared" si="37"/>
        <v>-0.25270188994864634</v>
      </c>
      <c r="T122" s="149">
        <f t="shared" si="37"/>
        <v>-25.727589169050258</v>
      </c>
      <c r="U122" s="149">
        <f t="shared" si="37"/>
        <v>-16.866517357318216</v>
      </c>
      <c r="V122" s="149">
        <f t="shared" si="37"/>
        <v>-8.6203935684466195</v>
      </c>
      <c r="W122" s="149">
        <f t="shared" si="37"/>
        <v>-45.451462772370917</v>
      </c>
      <c r="X122" s="149">
        <f t="shared" si="37"/>
        <v>-6.411164776818449</v>
      </c>
      <c r="Y122" s="149">
        <f t="shared" si="37"/>
        <v>-13.418935775052677</v>
      </c>
      <c r="Z122" s="149">
        <f t="shared" si="37"/>
        <v>-17.979856908003498</v>
      </c>
      <c r="AA122" s="149">
        <f t="shared" si="37"/>
        <v>-29.764091903610016</v>
      </c>
      <c r="AB122" s="149">
        <f t="shared" si="37"/>
        <v>-5.9361099227173479</v>
      </c>
      <c r="AC122" s="149">
        <f t="shared" si="37"/>
        <v>-211.66856566218681</v>
      </c>
      <c r="AD122" s="149">
        <f t="shared" si="37"/>
        <v>6.8468733987675581</v>
      </c>
      <c r="AE122" s="149">
        <f t="shared" si="37"/>
        <v>-13.582113904540266</v>
      </c>
      <c r="AF122" s="149">
        <f t="shared" si="37"/>
        <v>-42.42449045206795</v>
      </c>
      <c r="AG122" s="149">
        <f t="shared" si="37"/>
        <v>-35.526868438588622</v>
      </c>
      <c r="AH122" s="149">
        <f t="shared" si="37"/>
        <v>-0.8954848835011191</v>
      </c>
      <c r="AI122" s="149">
        <f t="shared" si="37"/>
        <v>-19.305554853231015</v>
      </c>
      <c r="AJ122" s="149"/>
      <c r="AK122" s="150"/>
      <c r="AL122" s="150"/>
      <c r="AM122" s="150"/>
      <c r="AN122" s="150"/>
      <c r="AO122" s="150"/>
      <c r="AP122" s="150"/>
      <c r="AQ122" s="150"/>
      <c r="AR122" s="150"/>
      <c r="AS122" s="150"/>
      <c r="AT122" s="151">
        <f t="shared" ref="AT122:AT136" si="38">SUM(E122:P122)</f>
        <v>-115.18577778722835</v>
      </c>
      <c r="AU122" s="74"/>
    </row>
    <row r="123" spans="4:47" ht="21" customHeight="1" thickBot="1" x14ac:dyDescent="0.25">
      <c r="D123" s="74"/>
      <c r="E123" s="152">
        <f t="shared" ref="E123:AI123" si="39">+(E112+E115+E119)/E137</f>
        <v>-2.1222589740069608</v>
      </c>
      <c r="F123" s="152">
        <f t="shared" si="39"/>
        <v>1.8783413795913741</v>
      </c>
      <c r="G123" s="152">
        <f t="shared" si="39"/>
        <v>1.4022081244218783</v>
      </c>
      <c r="H123" s="152">
        <f t="shared" si="39"/>
        <v>-0.66569639723263807</v>
      </c>
      <c r="I123" s="152">
        <f t="shared" si="39"/>
        <v>-1.7645590036565351</v>
      </c>
      <c r="J123" s="152">
        <f t="shared" si="39"/>
        <v>1.5753658810089246</v>
      </c>
      <c r="K123" s="152">
        <f t="shared" si="39"/>
        <v>-0.72072157831560768</v>
      </c>
      <c r="L123" s="152">
        <f t="shared" si="39"/>
        <v>6.9981335121646993</v>
      </c>
      <c r="M123" s="152">
        <f t="shared" si="39"/>
        <v>-6.5027943164074626</v>
      </c>
      <c r="N123" s="152">
        <f t="shared" si="39"/>
        <v>2.3294622705674781</v>
      </c>
      <c r="O123" s="152">
        <f t="shared" si="39"/>
        <v>6.2450229077557546</v>
      </c>
      <c r="P123" s="153">
        <f t="shared" si="39"/>
        <v>9.5058321799761014</v>
      </c>
      <c r="Q123" s="153">
        <f t="shared" si="39"/>
        <v>-8.1536843993754982</v>
      </c>
      <c r="R123" s="153">
        <f t="shared" si="39"/>
        <v>12.706887467327233</v>
      </c>
      <c r="S123" s="153">
        <f t="shared" si="39"/>
        <v>-0.25270188994864634</v>
      </c>
      <c r="T123" s="153">
        <f t="shared" si="39"/>
        <v>-16.012824538215096</v>
      </c>
      <c r="U123" s="153">
        <f t="shared" si="39"/>
        <v>2.5538211102532946</v>
      </c>
      <c r="V123" s="153">
        <f t="shared" si="39"/>
        <v>-0.66448616292007934</v>
      </c>
      <c r="W123" s="153">
        <f t="shared" si="39"/>
        <v>9.8345314302520901</v>
      </c>
      <c r="X123" s="153">
        <f t="shared" si="39"/>
        <v>1.440094442732698</v>
      </c>
      <c r="Y123" s="153">
        <f t="shared" si="39"/>
        <v>-3.0030307969911432</v>
      </c>
      <c r="Z123" s="153">
        <f t="shared" si="39"/>
        <v>0.3300519511492051</v>
      </c>
      <c r="AA123" s="153">
        <f t="shared" si="39"/>
        <v>-3.6436456891597846</v>
      </c>
      <c r="AB123" s="153">
        <f t="shared" si="39"/>
        <v>-5.9361099227173479</v>
      </c>
      <c r="AC123" s="153">
        <f t="shared" si="39"/>
        <v>-10.878525815620913</v>
      </c>
      <c r="AD123" s="153">
        <f t="shared" si="39"/>
        <v>6.8468733987675581</v>
      </c>
      <c r="AE123" s="153">
        <f t="shared" si="39"/>
        <v>1.3534917186490796</v>
      </c>
      <c r="AF123" s="153">
        <f t="shared" si="39"/>
        <v>-1.7819944638903544</v>
      </c>
      <c r="AG123" s="153">
        <f t="shared" si="39"/>
        <v>-5.8714216374613422</v>
      </c>
      <c r="AH123" s="153">
        <f t="shared" si="39"/>
        <v>-0.8954848835011191</v>
      </c>
      <c r="AI123" s="153">
        <f t="shared" si="39"/>
        <v>10.625389788654982</v>
      </c>
      <c r="AJ123" s="153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1">
        <f t="shared" si="38"/>
        <v>18.158335985867005</v>
      </c>
      <c r="AU123" s="74"/>
    </row>
    <row r="124" spans="4:47" ht="12.75" hidden="1" customHeight="1" x14ac:dyDescent="0.2">
      <c r="D124" s="260" t="s">
        <v>165</v>
      </c>
      <c r="E124" s="258" t="s">
        <v>166</v>
      </c>
      <c r="F124" s="258" t="s">
        <v>166</v>
      </c>
      <c r="G124" s="258" t="s">
        <v>166</v>
      </c>
      <c r="H124" s="258" t="s">
        <v>166</v>
      </c>
      <c r="I124" s="258" t="s">
        <v>166</v>
      </c>
      <c r="J124" s="258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  <c r="X124" s="155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55"/>
      <c r="AM124" s="155"/>
      <c r="AN124" s="155"/>
      <c r="AO124" s="155"/>
      <c r="AP124" s="155"/>
      <c r="AQ124" s="155"/>
      <c r="AR124" s="155"/>
      <c r="AS124" s="155"/>
      <c r="AT124" s="151">
        <f t="shared" si="38"/>
        <v>0</v>
      </c>
      <c r="AU124" s="74"/>
    </row>
    <row r="125" spans="4:47" ht="13.5" hidden="1" customHeight="1" x14ac:dyDescent="0.2">
      <c r="D125" s="261"/>
      <c r="E125" s="259"/>
      <c r="F125" s="259"/>
      <c r="G125" s="259"/>
      <c r="H125" s="259"/>
      <c r="I125" s="259"/>
      <c r="J125" s="259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  <c r="X125" s="155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55"/>
      <c r="AM125" s="155"/>
      <c r="AN125" s="155"/>
      <c r="AO125" s="155"/>
      <c r="AP125" s="155"/>
      <c r="AQ125" s="155"/>
      <c r="AR125" s="155"/>
      <c r="AS125" s="155"/>
      <c r="AT125" s="151">
        <f t="shared" si="38"/>
        <v>0</v>
      </c>
    </row>
    <row r="126" spans="4:47" ht="12.75" hidden="1" customHeight="1" x14ac:dyDescent="0.2">
      <c r="D126" s="156" t="s">
        <v>167</v>
      </c>
      <c r="E126" s="157"/>
      <c r="F126" s="157"/>
      <c r="G126" s="158"/>
      <c r="H126" s="158"/>
      <c r="I126" s="158"/>
      <c r="J126" s="158"/>
      <c r="K126" s="159"/>
      <c r="AT126" s="151">
        <f t="shared" si="38"/>
        <v>0</v>
      </c>
    </row>
    <row r="127" spans="4:47" ht="12.75" hidden="1" customHeight="1" x14ac:dyDescent="0.2">
      <c r="D127" s="156" t="s">
        <v>168</v>
      </c>
      <c r="E127" s="157"/>
      <c r="F127" s="157"/>
      <c r="G127" s="158"/>
      <c r="H127" s="158"/>
      <c r="I127" s="158"/>
      <c r="J127" s="158"/>
      <c r="K127" s="159"/>
      <c r="AT127" s="151">
        <f t="shared" si="38"/>
        <v>0</v>
      </c>
    </row>
    <row r="128" spans="4:47" ht="12.75" hidden="1" customHeight="1" x14ac:dyDescent="0.2">
      <c r="D128" s="156" t="s">
        <v>169</v>
      </c>
      <c r="E128" s="157"/>
      <c r="F128" s="157"/>
      <c r="G128" s="158"/>
      <c r="H128" s="158"/>
      <c r="I128" s="158"/>
      <c r="J128" s="158"/>
      <c r="K128" s="159"/>
      <c r="AT128" s="151">
        <f t="shared" si="38"/>
        <v>0</v>
      </c>
    </row>
    <row r="129" spans="4:46" ht="12.75" hidden="1" customHeight="1" x14ac:dyDescent="0.2">
      <c r="D129" s="156" t="s">
        <v>170</v>
      </c>
      <c r="E129" s="157">
        <v>23.643678526944257</v>
      </c>
      <c r="F129" s="157"/>
      <c r="G129" s="158"/>
      <c r="H129" s="158"/>
      <c r="I129" s="158"/>
      <c r="J129" s="158"/>
      <c r="K129" s="159"/>
      <c r="AT129" s="151">
        <f t="shared" si="38"/>
        <v>23.643678526944257</v>
      </c>
    </row>
    <row r="130" spans="4:46" ht="12.75" hidden="1" customHeight="1" x14ac:dyDescent="0.2">
      <c r="D130" s="156" t="s">
        <v>171</v>
      </c>
      <c r="E130" s="160">
        <f>+E122+E129</f>
        <v>-5.7814388513812851</v>
      </c>
      <c r="F130" s="160"/>
      <c r="G130" s="161"/>
      <c r="H130" s="161"/>
      <c r="I130" s="161"/>
      <c r="J130" s="161"/>
      <c r="K130" s="162"/>
      <c r="AT130" s="151">
        <f t="shared" si="38"/>
        <v>-5.7814388513812851</v>
      </c>
    </row>
    <row r="131" spans="4:46" s="39" customFormat="1" ht="12.75" hidden="1" customHeight="1" x14ac:dyDescent="0.2">
      <c r="D131" s="163" t="s">
        <v>172</v>
      </c>
      <c r="E131" s="164">
        <f>+E130*E137</f>
        <v>-257.89797461495021</v>
      </c>
      <c r="F131" s="164"/>
      <c r="G131" s="165"/>
      <c r="H131" s="165"/>
      <c r="I131" s="165"/>
      <c r="J131" s="165"/>
      <c r="K131" s="166"/>
      <c r="AT131" s="151">
        <f t="shared" si="38"/>
        <v>-257.89797461495021</v>
      </c>
    </row>
    <row r="132" spans="4:46" s="39" customFormat="1" ht="12.75" hidden="1" customHeight="1" x14ac:dyDescent="0.2">
      <c r="D132" s="163" t="s">
        <v>173</v>
      </c>
      <c r="E132" s="164"/>
      <c r="F132" s="164"/>
      <c r="G132" s="165"/>
      <c r="H132" s="165"/>
      <c r="I132" s="165"/>
      <c r="J132" s="165"/>
      <c r="K132" s="166"/>
      <c r="AT132" s="151">
        <f t="shared" si="38"/>
        <v>0</v>
      </c>
    </row>
    <row r="133" spans="4:46" ht="12.75" hidden="1" customHeight="1" x14ac:dyDescent="0.2">
      <c r="D133" s="163" t="s">
        <v>174</v>
      </c>
      <c r="E133" s="167"/>
      <c r="F133" s="167"/>
      <c r="G133" s="168"/>
      <c r="H133" s="168"/>
      <c r="I133" s="168"/>
      <c r="J133" s="168"/>
      <c r="K133" s="44"/>
      <c r="AT133" s="151">
        <f t="shared" si="38"/>
        <v>0</v>
      </c>
    </row>
    <row r="134" spans="4:46" ht="12.75" hidden="1" customHeight="1" x14ac:dyDescent="0.2">
      <c r="D134" s="163" t="s">
        <v>175</v>
      </c>
      <c r="E134" s="169"/>
      <c r="F134" s="169"/>
      <c r="G134" s="170"/>
      <c r="H134" s="170"/>
      <c r="I134" s="170"/>
      <c r="J134" s="170"/>
      <c r="K134" s="171"/>
      <c r="AT134" s="151">
        <f t="shared" si="38"/>
        <v>0</v>
      </c>
    </row>
    <row r="135" spans="4:46" s="39" customFormat="1" ht="12.75" hidden="1" customHeight="1" x14ac:dyDescent="0.2">
      <c r="D135" s="156" t="s">
        <v>176</v>
      </c>
      <c r="E135" s="164"/>
      <c r="F135" s="164"/>
      <c r="G135" s="165"/>
      <c r="H135" s="165"/>
      <c r="I135" s="165"/>
      <c r="J135" s="165"/>
      <c r="K135" s="166"/>
      <c r="AT135" s="151">
        <f t="shared" si="38"/>
        <v>0</v>
      </c>
    </row>
    <row r="136" spans="4:46" ht="13.5" hidden="1" customHeight="1" x14ac:dyDescent="0.2">
      <c r="D136" s="172" t="s">
        <v>177</v>
      </c>
      <c r="E136" s="173"/>
      <c r="F136" s="173"/>
      <c r="G136" s="174"/>
      <c r="H136" s="174"/>
      <c r="I136" s="174"/>
      <c r="J136" s="174"/>
      <c r="K136" s="174"/>
      <c r="L136" s="174"/>
      <c r="M136" s="174"/>
      <c r="N136" s="174"/>
      <c r="O136" s="174"/>
      <c r="P136" s="174"/>
      <c r="Q136" s="174"/>
      <c r="R136" s="174"/>
      <c r="S136" s="174"/>
      <c r="T136" s="17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  <c r="AK136" s="44"/>
      <c r="AL136" s="44"/>
      <c r="AM136" s="44"/>
      <c r="AN136" s="44"/>
      <c r="AO136" s="44"/>
      <c r="AP136" s="44"/>
      <c r="AQ136" s="44"/>
      <c r="AR136" s="44"/>
      <c r="AS136" s="44"/>
      <c r="AT136" s="151">
        <f t="shared" si="38"/>
        <v>0</v>
      </c>
    </row>
    <row r="137" spans="4:46" x14ac:dyDescent="0.2">
      <c r="D137" s="175"/>
      <c r="E137" s="147">
        <v>44.607922222222236</v>
      </c>
      <c r="F137" s="147">
        <v>44.881700000000002</v>
      </c>
      <c r="G137" s="147">
        <v>44.752400000000002</v>
      </c>
      <c r="H137" s="147">
        <v>44.797123809523796</v>
      </c>
      <c r="I137" s="147">
        <v>44.865099999999998</v>
      </c>
      <c r="J137" s="147">
        <v>44.914857142857144</v>
      </c>
      <c r="K137" s="147">
        <v>45.060556521739123</v>
      </c>
      <c r="L137" s="147">
        <v>45.143300000000004</v>
      </c>
      <c r="M137" s="147">
        <v>45.228223809523811</v>
      </c>
      <c r="N137" s="147">
        <v>45.333890909090911</v>
      </c>
      <c r="O137" s="147">
        <v>45.433275000000002</v>
      </c>
      <c r="P137" s="147">
        <v>45.527700000000003</v>
      </c>
      <c r="Q137" s="147">
        <v>45.615400000000001</v>
      </c>
      <c r="R137" s="147">
        <v>45.764200000000002</v>
      </c>
      <c r="S137" s="147">
        <v>45.809399999999997</v>
      </c>
      <c r="T137" s="147">
        <v>45.853499999999997</v>
      </c>
      <c r="U137" s="176">
        <v>45.901000000000003</v>
      </c>
      <c r="V137" s="176">
        <v>45.954127272727277</v>
      </c>
      <c r="W137" s="176">
        <v>45.994500000000002</v>
      </c>
      <c r="X137" s="176">
        <v>46.006100000000004</v>
      </c>
      <c r="Y137" s="176">
        <v>46.174599999999991</v>
      </c>
      <c r="Z137" s="176">
        <v>46.437100000000001</v>
      </c>
      <c r="AA137" s="176">
        <v>46.589300000000001</v>
      </c>
      <c r="AB137" s="176">
        <v>46.674100000000003</v>
      </c>
      <c r="AC137" s="176">
        <f>+AVERAGE(Q137:AB137)</f>
        <v>46.064443939393932</v>
      </c>
      <c r="AD137" s="176">
        <v>46.782800000000002</v>
      </c>
      <c r="AE137" s="176">
        <v>47.128500000000003</v>
      </c>
      <c r="AF137" s="176">
        <v>47.3172</v>
      </c>
      <c r="AG137" s="176">
        <v>47.396111111111111</v>
      </c>
      <c r="AH137" s="176">
        <v>47.440199999999997</v>
      </c>
      <c r="AI137" s="176">
        <v>47.440199999999997</v>
      </c>
      <c r="AJ137" s="176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77"/>
    </row>
    <row r="138" spans="4:46" x14ac:dyDescent="0.2">
      <c r="E138" s="178">
        <v>-2.1213849960206352</v>
      </c>
      <c r="F138" s="178">
        <v>1.8783400579836402</v>
      </c>
      <c r="G138" s="178">
        <v>1.402204991170944</v>
      </c>
      <c r="H138" s="178">
        <v>-0.66569639723263807</v>
      </c>
      <c r="I138" s="178">
        <v>-1.7645592003081862</v>
      </c>
      <c r="J138" s="178">
        <v>1.5644508568640185</v>
      </c>
      <c r="K138" s="178"/>
      <c r="Z138" s="74">
        <f>-Z115</f>
        <v>69.550611790000005</v>
      </c>
      <c r="AA138" s="74"/>
      <c r="AB138" s="74"/>
      <c r="AD138" s="28">
        <f>+AD112+AD115+AD119</f>
        <v>320.31590883986291</v>
      </c>
      <c r="AE138" s="28">
        <f>+AE112+AE115+AE119</f>
        <v>63.788034462353153</v>
      </c>
      <c r="AF138" s="28">
        <f>+AF112+AF115+AF119</f>
        <v>-84.318988446792673</v>
      </c>
      <c r="AG138" s="28">
        <f t="shared" ref="AG138:AI138" si="40">+AG112+AG115+AG119</f>
        <v>-278.28255230929972</v>
      </c>
      <c r="AH138" s="28">
        <f t="shared" si="40"/>
        <v>-42.481981970269786</v>
      </c>
      <c r="AI138" s="28">
        <f t="shared" si="40"/>
        <v>504.07061665175002</v>
      </c>
    </row>
    <row r="139" spans="4:46" ht="12.75" hidden="1" customHeight="1" x14ac:dyDescent="0.2">
      <c r="E139" s="178"/>
      <c r="F139" s="178"/>
      <c r="G139" s="178"/>
      <c r="H139" s="178"/>
      <c r="I139" s="178"/>
      <c r="J139" s="178"/>
      <c r="K139" s="178"/>
    </row>
    <row r="140" spans="4:46" ht="12.75" hidden="1" customHeight="1" x14ac:dyDescent="0.2">
      <c r="E140" s="178"/>
      <c r="F140" s="178"/>
      <c r="G140" s="178"/>
      <c r="H140" s="178"/>
      <c r="I140" s="178"/>
      <c r="J140" s="178"/>
      <c r="K140" s="178"/>
    </row>
    <row r="141" spans="4:46" ht="12.75" hidden="1" customHeight="1" x14ac:dyDescent="0.2">
      <c r="E141" s="179"/>
      <c r="F141" s="179"/>
      <c r="G141" s="179"/>
      <c r="H141" s="179"/>
      <c r="I141" s="179"/>
      <c r="J141" s="179"/>
      <c r="K141" s="179"/>
      <c r="S141" s="28">
        <f>+S112+S115</f>
        <v>-11.57612195741352</v>
      </c>
      <c r="T141" s="28">
        <f>+T112+T115+T119</f>
        <v>-734.24404996304588</v>
      </c>
      <c r="U141" s="28"/>
      <c r="V141" s="28"/>
      <c r="W141" s="28">
        <f>+(W107+W108+W89+W92+W83+W76+W47+W46+W52-W115+W45)</f>
        <v>4274.7195182937467</v>
      </c>
      <c r="X141" s="28"/>
      <c r="Y141" s="28"/>
      <c r="Z141" s="28"/>
      <c r="AA141" s="28"/>
      <c r="AB141" s="28"/>
      <c r="AD141" s="28"/>
    </row>
    <row r="142" spans="4:46" ht="12.75" hidden="1" customHeight="1" x14ac:dyDescent="0.2">
      <c r="E142" s="178">
        <f t="shared" ref="E142:L142" si="41">+E143+E144</f>
        <v>-339.07837030999997</v>
      </c>
      <c r="F142" s="178">
        <f t="shared" si="41"/>
        <v>-351.71035917</v>
      </c>
      <c r="G142" s="178">
        <f t="shared" si="41"/>
        <v>-318.82552468</v>
      </c>
      <c r="H142" s="178">
        <f t="shared" si="41"/>
        <v>-332.07108075000002</v>
      </c>
      <c r="I142" s="178">
        <f t="shared" si="41"/>
        <v>-330.74174413000003</v>
      </c>
      <c r="J142" s="178">
        <f t="shared" si="41"/>
        <v>-300.02119499000003</v>
      </c>
      <c r="K142" s="178">
        <f t="shared" si="41"/>
        <v>-342.64516860000003</v>
      </c>
      <c r="L142" s="28">
        <f t="shared" si="41"/>
        <v>-298.16070440999999</v>
      </c>
      <c r="M142" s="28">
        <v>-283.28396733</v>
      </c>
      <c r="N142" s="28">
        <v>-295.53999606000002</v>
      </c>
      <c r="O142" s="28">
        <f>+O143+O144</f>
        <v>-140.72835470999999</v>
      </c>
      <c r="P142" s="28"/>
      <c r="Q142" s="28"/>
      <c r="R142" s="28"/>
      <c r="S142" s="28"/>
      <c r="T142" s="28"/>
      <c r="U142" s="28"/>
      <c r="V142" s="28"/>
      <c r="W142" s="28">
        <v>4244.2543297737457</v>
      </c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4:46" ht="12.75" hidden="1" customHeight="1" x14ac:dyDescent="0.2">
      <c r="E143" s="178">
        <v>-193.02052671999999</v>
      </c>
      <c r="F143" s="178">
        <v>-186.19827538000001</v>
      </c>
      <c r="G143" s="178">
        <v>-177.96266985</v>
      </c>
      <c r="H143" s="178">
        <v>-190.44894550000001</v>
      </c>
      <c r="I143" s="178">
        <v>-185.54509922</v>
      </c>
      <c r="J143" s="178">
        <v>-176.70663327</v>
      </c>
      <c r="K143" s="178">
        <v>-215.09460941</v>
      </c>
      <c r="L143" s="28">
        <v>-173.26980817</v>
      </c>
      <c r="M143" s="28">
        <v>-166.35961058999999</v>
      </c>
      <c r="N143" s="28">
        <v>-175.14001669000001</v>
      </c>
      <c r="O143" s="28"/>
      <c r="P143" s="28"/>
      <c r="Q143" s="28"/>
      <c r="R143" s="28"/>
      <c r="S143" s="28"/>
      <c r="T143" s="28"/>
      <c r="U143" s="28"/>
      <c r="V143" s="28"/>
      <c r="W143" s="28">
        <f>+W141-W142</f>
        <v>30.465188520000993</v>
      </c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4:46" ht="12.75" hidden="1" customHeight="1" x14ac:dyDescent="0.2">
      <c r="E144" s="178">
        <v>-146.05784359</v>
      </c>
      <c r="F144" s="178">
        <v>-165.51208378999999</v>
      </c>
      <c r="G144" s="178">
        <v>-140.86285483</v>
      </c>
      <c r="H144" s="178">
        <v>-141.62213525000001</v>
      </c>
      <c r="I144" s="178">
        <v>-145.19664491</v>
      </c>
      <c r="J144" s="178">
        <v>-123.31456172</v>
      </c>
      <c r="K144" s="178">
        <v>-127.55055919</v>
      </c>
      <c r="L144" s="28">
        <v>-124.89089624</v>
      </c>
      <c r="M144" s="28">
        <v>-116.92435673999999</v>
      </c>
      <c r="N144" s="28">
        <v>-120.39997937</v>
      </c>
      <c r="O144" s="28">
        <v>-140.72835470999999</v>
      </c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4:49" ht="12.75" hidden="1" customHeight="1" x14ac:dyDescent="0.2">
      <c r="E145" s="178">
        <f t="shared" ref="E145:L145" si="42">+E142-E143</f>
        <v>-146.05784358999998</v>
      </c>
      <c r="F145" s="178">
        <f t="shared" si="42"/>
        <v>-165.51208378999999</v>
      </c>
      <c r="G145" s="178">
        <f t="shared" si="42"/>
        <v>-140.86285483</v>
      </c>
      <c r="H145" s="178">
        <f t="shared" si="42"/>
        <v>-141.62213525000001</v>
      </c>
      <c r="I145" s="178">
        <f t="shared" si="42"/>
        <v>-145.19664491000003</v>
      </c>
      <c r="J145" s="178">
        <f t="shared" si="42"/>
        <v>-123.31456172000003</v>
      </c>
      <c r="K145" s="178">
        <f t="shared" si="42"/>
        <v>-127.55055919000003</v>
      </c>
      <c r="L145" s="28">
        <f t="shared" si="42"/>
        <v>-124.89089623999999</v>
      </c>
      <c r="M145" s="28">
        <v>-116.92435674000001</v>
      </c>
      <c r="N145" s="28">
        <v>-120.39997937000001</v>
      </c>
      <c r="O145" s="28">
        <f>+O142-O143</f>
        <v>-140.72835470999999</v>
      </c>
      <c r="P145" s="28"/>
      <c r="Q145" s="28"/>
      <c r="R145" s="28"/>
      <c r="S145" s="28"/>
      <c r="T145" s="28"/>
      <c r="U145" s="28"/>
      <c r="V145" s="28"/>
      <c r="W145" s="28">
        <v>-296.05136563780161</v>
      </c>
      <c r="X145" s="28"/>
      <c r="Y145" s="28"/>
      <c r="Z145" s="28"/>
      <c r="AA145" s="28"/>
      <c r="AB145" s="28"/>
      <c r="AC145" s="28">
        <v>-296.05136563780167</v>
      </c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4:49" ht="12.75" hidden="1" customHeight="1" x14ac:dyDescent="0.2">
      <c r="E146" s="179"/>
      <c r="F146" s="179"/>
      <c r="G146" s="179"/>
      <c r="H146" s="179"/>
      <c r="I146" s="179"/>
      <c r="J146" s="179"/>
      <c r="K146" s="179"/>
      <c r="AC146" s="180">
        <f>+AC145-W145</f>
        <v>0</v>
      </c>
      <c r="AE146" s="180"/>
      <c r="AF146" s="180"/>
      <c r="AG146" s="180"/>
      <c r="AH146" s="180"/>
      <c r="AI146" s="180"/>
    </row>
    <row r="147" spans="4:49" ht="12.75" hidden="1" customHeight="1" x14ac:dyDescent="0.2">
      <c r="E147" s="179"/>
      <c r="F147" s="179"/>
      <c r="G147" s="179"/>
      <c r="H147" s="179"/>
      <c r="I147" s="179"/>
      <c r="J147" s="179"/>
      <c r="K147" s="179"/>
    </row>
    <row r="148" spans="4:49" ht="12.75" hidden="1" customHeight="1" x14ac:dyDescent="0.2">
      <c r="E148" s="178">
        <v>-19.228945229584099</v>
      </c>
      <c r="F148" s="178">
        <v>-64.912889246460196</v>
      </c>
      <c r="G148" s="178">
        <v>-95.016339567714198</v>
      </c>
      <c r="H148" s="178">
        <v>-165.4770134</v>
      </c>
      <c r="I148" s="178">
        <v>-59.743867260000002</v>
      </c>
      <c r="J148" s="178">
        <v>-65.501686294890206</v>
      </c>
      <c r="K148" s="178">
        <v>-143.04778167000001</v>
      </c>
      <c r="L148" s="28">
        <v>-67.016207700000095</v>
      </c>
      <c r="M148" s="28">
        <v>-63.220656856666203</v>
      </c>
      <c r="N148" s="28">
        <v>-40.534234069472198</v>
      </c>
      <c r="O148" s="28">
        <v>-169.07718686999999</v>
      </c>
      <c r="P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U148" s="28"/>
      <c r="AV148" s="28"/>
      <c r="AW148" s="28">
        <v>-67.016207700000095</v>
      </c>
    </row>
    <row r="149" spans="4:49" ht="12.75" hidden="1" customHeight="1" x14ac:dyDescent="0.2">
      <c r="E149" s="178"/>
      <c r="F149" s="178"/>
      <c r="G149" s="178"/>
      <c r="H149" s="178"/>
      <c r="I149" s="178"/>
      <c r="J149" s="178"/>
      <c r="K149" s="178">
        <v>-19.706348545662902</v>
      </c>
      <c r="L149" s="28">
        <v>-19.706348545662902</v>
      </c>
      <c r="M149" s="28">
        <v>-26.194557717369001</v>
      </c>
      <c r="N149" s="28">
        <v>-26.194557717369001</v>
      </c>
      <c r="O149" s="28">
        <v>-40.438934080000003</v>
      </c>
      <c r="P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U149" s="28"/>
      <c r="AV149" s="28"/>
      <c r="AW149" s="28">
        <v>-19.706348545662902</v>
      </c>
    </row>
    <row r="150" spans="4:49" ht="12.75" hidden="1" customHeight="1" x14ac:dyDescent="0.2">
      <c r="E150" s="179"/>
      <c r="F150" s="179"/>
      <c r="G150" s="179"/>
      <c r="H150" s="179"/>
      <c r="I150" s="179"/>
      <c r="J150" s="179"/>
      <c r="K150" s="179"/>
      <c r="N150" s="28">
        <v>-32.941656870991999</v>
      </c>
      <c r="O150" s="28">
        <v>-26.194557717369001</v>
      </c>
      <c r="P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4:49" ht="13.5" hidden="1" customHeight="1" x14ac:dyDescent="0.2">
      <c r="E151" s="181">
        <f t="shared" ref="E151:J151" si="43">+E120+E145+E148</f>
        <v>45.299414397497145</v>
      </c>
      <c r="F151" s="181">
        <f t="shared" si="43"/>
        <v>64.464384477027011</v>
      </c>
      <c r="G151" s="181">
        <f t="shared" si="43"/>
        <v>121.76234198315066</v>
      </c>
      <c r="H151" s="181">
        <f t="shared" si="43"/>
        <v>20.721103804480435</v>
      </c>
      <c r="I151" s="181">
        <f t="shared" si="43"/>
        <v>43.712624129529217</v>
      </c>
      <c r="J151" s="181">
        <f t="shared" si="43"/>
        <v>137.83868847788597</v>
      </c>
      <c r="K151" s="181">
        <f>+K120+K145+K148+K149</f>
        <v>3.8741316709856086</v>
      </c>
      <c r="L151" s="181">
        <f>+L120+L145+L148+L149</f>
        <v>398.48420917069029</v>
      </c>
      <c r="M151" s="181">
        <f>+M120+M145+M148+M149</f>
        <v>109.64825361254188</v>
      </c>
      <c r="N151" s="181">
        <f>+N120+N145+N148+N149+N150</f>
        <v>201.5209853494932</v>
      </c>
      <c r="O151" s="181">
        <f>+O120+O145+O148+O149+O150</f>
        <v>328.88422314932433</v>
      </c>
      <c r="P151" s="181"/>
      <c r="AJ151" s="162"/>
      <c r="AK151" s="162"/>
      <c r="AL151" s="162"/>
      <c r="AM151" s="162"/>
      <c r="AN151" s="162"/>
      <c r="AO151" s="162"/>
      <c r="AP151" s="162"/>
      <c r="AQ151" s="162"/>
      <c r="AR151" s="162"/>
      <c r="AS151" s="162"/>
    </row>
    <row r="152" spans="4:49" ht="12.75" hidden="1" customHeight="1" x14ac:dyDescent="0.2">
      <c r="E152" s="162"/>
      <c r="F152" s="162"/>
      <c r="G152" s="162"/>
      <c r="H152" s="162"/>
      <c r="I152" s="162"/>
      <c r="AJ152" s="28">
        <f>+U185*1000000</f>
        <v>2752472698.9007468</v>
      </c>
    </row>
    <row r="153" spans="4:49" ht="12.75" hidden="1" customHeight="1" x14ac:dyDescent="0.2">
      <c r="E153" s="162"/>
      <c r="F153" s="162"/>
      <c r="G153" s="162"/>
      <c r="H153" s="162"/>
      <c r="I153" s="162"/>
      <c r="AJ153" s="180">
        <v>-2752472698.9007468</v>
      </c>
    </row>
    <row r="154" spans="4:49" ht="12.75" hidden="1" customHeight="1" x14ac:dyDescent="0.2">
      <c r="D154" s="182" t="s">
        <v>178</v>
      </c>
      <c r="E154" s="183">
        <v>-29.412999674902593</v>
      </c>
      <c r="F154" s="183">
        <f>(+F112+F115)/44.88</f>
        <v>1.8784125288860556</v>
      </c>
      <c r="G154" s="183">
        <f>(+G112+G115)/44.88</f>
        <v>-16.144106085842743</v>
      </c>
      <c r="H154" s="183">
        <v>44.797123809523796</v>
      </c>
      <c r="I154" s="183"/>
      <c r="AJ154" s="180">
        <f>+AJ152+AJ153</f>
        <v>0</v>
      </c>
    </row>
    <row r="155" spans="4:49" ht="12.75" hidden="1" customHeight="1" x14ac:dyDescent="0.2">
      <c r="D155" s="182" t="s">
        <v>179</v>
      </c>
      <c r="E155" s="184">
        <v>-26.663559150000001</v>
      </c>
      <c r="F155" s="184"/>
      <c r="G155" s="184"/>
      <c r="H155" s="184"/>
      <c r="I155" s="184"/>
    </row>
    <row r="156" spans="4:49" ht="12.75" hidden="1" customHeight="1" x14ac:dyDescent="0.2">
      <c r="D156" s="182"/>
      <c r="E156" s="183">
        <f>+E112+E115</f>
        <v>-1312.5933473921057</v>
      </c>
      <c r="F156" s="183">
        <f>+F112+F115</f>
        <v>84.303154296406177</v>
      </c>
      <c r="G156" s="183"/>
      <c r="H156" s="183"/>
      <c r="I156" s="183"/>
    </row>
    <row r="157" spans="4:49" ht="12.75" hidden="1" customHeight="1" x14ac:dyDescent="0.2">
      <c r="E157" s="179"/>
      <c r="F157" s="179"/>
      <c r="G157" s="179"/>
      <c r="H157" s="179"/>
      <c r="I157" s="179"/>
    </row>
    <row r="158" spans="4:49" ht="12.75" hidden="1" customHeight="1" x14ac:dyDescent="0.2">
      <c r="E158" s="179">
        <v>-2.0282170434058635</v>
      </c>
      <c r="F158" s="179"/>
      <c r="G158" s="179"/>
      <c r="H158" s="179"/>
      <c r="I158" s="179"/>
    </row>
    <row r="159" spans="4:49" ht="12.75" hidden="1" customHeight="1" x14ac:dyDescent="0.2">
      <c r="E159" s="179"/>
      <c r="F159" s="179"/>
      <c r="G159" s="179"/>
      <c r="H159" s="179"/>
      <c r="I159" s="179"/>
    </row>
    <row r="160" spans="4:49" ht="12.75" hidden="1" customHeight="1" x14ac:dyDescent="0.2">
      <c r="E160" s="179" t="e">
        <f>+E154+#REF!</f>
        <v>#REF!</v>
      </c>
      <c r="F160" s="179"/>
      <c r="G160" s="179"/>
      <c r="H160" s="179"/>
      <c r="I160" s="179"/>
    </row>
    <row r="161" spans="4:46" ht="12.75" hidden="1" customHeight="1" x14ac:dyDescent="0.2">
      <c r="E161" s="185" t="e">
        <f>+E160-E158</f>
        <v>#REF!</v>
      </c>
      <c r="F161" s="179"/>
      <c r="G161" s="179"/>
      <c r="H161" s="179"/>
      <c r="I161" s="179"/>
    </row>
    <row r="162" spans="4:46" s="186" customFormat="1" ht="12.75" hidden="1" customHeight="1" x14ac:dyDescent="0.2">
      <c r="E162" s="159">
        <f t="shared" ref="E162:K162" si="44">+E47/(E45+E46)</f>
        <v>0.1327622364783595</v>
      </c>
      <c r="F162" s="159">
        <f t="shared" si="44"/>
        <v>7.0787463084769159E-2</v>
      </c>
      <c r="G162" s="159">
        <f t="shared" si="44"/>
        <v>0.10273219757496062</v>
      </c>
      <c r="H162" s="159">
        <f t="shared" si="44"/>
        <v>9.5204677551459851E-2</v>
      </c>
      <c r="I162" s="159">
        <f t="shared" si="44"/>
        <v>0.10333143395138163</v>
      </c>
      <c r="J162" s="159">
        <f t="shared" si="44"/>
        <v>0.10796087945053828</v>
      </c>
      <c r="K162" s="159">
        <f t="shared" si="44"/>
        <v>0.11758950892136635</v>
      </c>
      <c r="AT162" s="187"/>
    </row>
    <row r="163" spans="4:46" s="186" customFormat="1" ht="12.75" hidden="1" customHeight="1" x14ac:dyDescent="0.2">
      <c r="E163" s="159"/>
      <c r="F163" s="159"/>
      <c r="G163" s="159"/>
      <c r="H163" s="159"/>
      <c r="I163" s="159"/>
      <c r="AT163" s="187"/>
    </row>
    <row r="164" spans="4:46" s="186" customFormat="1" ht="12.75" hidden="1" customHeight="1" x14ac:dyDescent="0.2">
      <c r="E164" s="159">
        <v>44.607922222222236</v>
      </c>
      <c r="F164" s="159">
        <v>44.881700000000002</v>
      </c>
      <c r="G164" s="159">
        <v>44.752400000000002</v>
      </c>
      <c r="H164" s="159">
        <v>44.797123809523796</v>
      </c>
      <c r="I164" s="147">
        <v>44.914857142857144</v>
      </c>
      <c r="AT164" s="187"/>
    </row>
    <row r="165" spans="4:46" s="186" customFormat="1" ht="12.75" hidden="1" customHeight="1" x14ac:dyDescent="0.2">
      <c r="E165" s="159"/>
      <c r="F165" s="159"/>
      <c r="G165" s="159"/>
      <c r="H165" s="159"/>
      <c r="I165" s="159"/>
      <c r="AT165" s="187"/>
    </row>
    <row r="166" spans="4:46" s="186" customFormat="1" ht="12.75" hidden="1" customHeight="1" x14ac:dyDescent="0.2">
      <c r="E166" s="159">
        <v>23.643678526944257</v>
      </c>
      <c r="F166" s="159">
        <v>17.684074026194462</v>
      </c>
      <c r="G166" s="159">
        <v>0</v>
      </c>
      <c r="H166" s="159">
        <v>0</v>
      </c>
      <c r="I166" s="159">
        <v>0</v>
      </c>
      <c r="J166" s="159">
        <v>0</v>
      </c>
      <c r="K166" s="159">
        <v>0</v>
      </c>
      <c r="AT166" s="187"/>
    </row>
    <row r="167" spans="4:46" s="186" customFormat="1" ht="12.75" hidden="1" customHeight="1" x14ac:dyDescent="0.2">
      <c r="E167" s="159">
        <f t="shared" ref="E167:K167" si="45">+E122</f>
        <v>-29.425117378325542</v>
      </c>
      <c r="F167" s="159">
        <f t="shared" si="45"/>
        <v>1.8783413795913741</v>
      </c>
      <c r="G167" s="159">
        <f t="shared" si="45"/>
        <v>-16.190136867131645</v>
      </c>
      <c r="H167" s="159">
        <f t="shared" si="45"/>
        <v>-0.66569639723263807</v>
      </c>
      <c r="I167" s="159">
        <f t="shared" si="45"/>
        <v>-20.162574833332609</v>
      </c>
      <c r="J167" s="159">
        <f t="shared" si="45"/>
        <v>-11.021504196979905</v>
      </c>
      <c r="K167" s="159">
        <f t="shared" si="45"/>
        <v>-9.6211449409634398</v>
      </c>
      <c r="AT167" s="187"/>
    </row>
    <row r="168" spans="4:46" s="186" customFormat="1" x14ac:dyDescent="0.2">
      <c r="E168" s="159">
        <f>+E166+E167</f>
        <v>-5.7814388513812851</v>
      </c>
      <c r="F168" s="159">
        <f t="shared" ref="F168:K168" si="46">+F166+F167</f>
        <v>19.562415405785835</v>
      </c>
      <c r="G168" s="159">
        <f t="shared" si="46"/>
        <v>-16.190136867131645</v>
      </c>
      <c r="H168" s="159">
        <f t="shared" si="46"/>
        <v>-0.66569639723263807</v>
      </c>
      <c r="I168" s="159">
        <f t="shared" si="46"/>
        <v>-20.162574833332609</v>
      </c>
      <c r="J168" s="159">
        <f t="shared" si="46"/>
        <v>-11.021504196979905</v>
      </c>
      <c r="K168" s="159">
        <f t="shared" si="46"/>
        <v>-9.6211449409634398</v>
      </c>
      <c r="AI168" s="186">
        <f>SUM(AD138:AI138)</f>
        <v>483.09103722760392</v>
      </c>
      <c r="AT168" s="187"/>
    </row>
    <row r="169" spans="4:46" s="186" customFormat="1" x14ac:dyDescent="0.2">
      <c r="E169" s="188">
        <v>49.666923678800003</v>
      </c>
      <c r="F169" s="188">
        <v>170.54427374999997</v>
      </c>
      <c r="G169" s="188">
        <v>166.22486337999996</v>
      </c>
      <c r="H169" s="188">
        <v>85.644928220000011</v>
      </c>
      <c r="I169" s="188">
        <v>118.39936772999999</v>
      </c>
      <c r="J169" s="188">
        <v>141.56979183999999</v>
      </c>
      <c r="K169" s="188">
        <v>91.772273010000006</v>
      </c>
      <c r="L169" s="188">
        <v>44.166753169999993</v>
      </c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89"/>
      <c r="Y169" s="189"/>
      <c r="Z169" s="189"/>
      <c r="AA169" s="189"/>
      <c r="AB169" s="189"/>
      <c r="AC169" s="189"/>
      <c r="AD169" s="189"/>
      <c r="AE169" s="189"/>
      <c r="AF169" s="189"/>
      <c r="AG169" s="189"/>
      <c r="AH169" s="189"/>
      <c r="AI169" s="189"/>
      <c r="AJ169" s="189"/>
      <c r="AK169" s="189"/>
      <c r="AL169" s="189"/>
      <c r="AM169" s="189"/>
      <c r="AN169" s="189"/>
      <c r="AO169" s="189"/>
      <c r="AP169" s="189"/>
      <c r="AQ169" s="189"/>
      <c r="AR169" s="189"/>
      <c r="AS169" s="189"/>
      <c r="AT169" s="190"/>
    </row>
    <row r="170" spans="4:46" s="186" customFormat="1" x14ac:dyDescent="0.2">
      <c r="E170" s="159">
        <f t="shared" ref="E170:L170" si="47">+E169/E137</f>
        <v>1.1134103810389433</v>
      </c>
      <c r="F170" s="159">
        <f t="shared" si="47"/>
        <v>3.799862165425997</v>
      </c>
      <c r="G170" s="159">
        <f t="shared" si="47"/>
        <v>3.7143228827951118</v>
      </c>
      <c r="H170" s="159">
        <f t="shared" si="47"/>
        <v>1.9118398891893154</v>
      </c>
      <c r="I170" s="159">
        <f t="shared" si="47"/>
        <v>2.6390082208665531</v>
      </c>
      <c r="J170" s="159">
        <f t="shared" si="47"/>
        <v>3.1519590809277234</v>
      </c>
      <c r="K170" s="159">
        <f t="shared" si="47"/>
        <v>2.0366431330186785</v>
      </c>
      <c r="L170" s="159">
        <f t="shared" si="47"/>
        <v>0.97836784572682967</v>
      </c>
      <c r="M170" s="159"/>
      <c r="N170" s="159"/>
      <c r="O170" s="159"/>
      <c r="P170" s="159"/>
      <c r="Q170" s="159"/>
      <c r="R170" s="159"/>
      <c r="S170" s="159"/>
      <c r="T170" s="159"/>
      <c r="U170" s="159"/>
      <c r="V170" s="159"/>
      <c r="W170" s="159"/>
      <c r="X170" s="159"/>
      <c r="Y170" s="159"/>
      <c r="Z170" s="159"/>
      <c r="AA170" s="159"/>
      <c r="AB170" s="159"/>
      <c r="AC170" s="159"/>
      <c r="AD170" s="159"/>
      <c r="AE170" s="159"/>
      <c r="AF170" s="159"/>
      <c r="AG170" s="159"/>
      <c r="AH170" s="159"/>
      <c r="AI170" s="159"/>
      <c r="AJ170" s="159"/>
      <c r="AK170" s="159"/>
      <c r="AL170" s="159"/>
      <c r="AM170" s="159"/>
      <c r="AN170" s="159"/>
      <c r="AO170" s="159"/>
      <c r="AP170" s="159"/>
      <c r="AQ170" s="159"/>
      <c r="AR170" s="159"/>
      <c r="AS170" s="159"/>
      <c r="AT170" s="45"/>
    </row>
    <row r="171" spans="4:46" s="186" customFormat="1" x14ac:dyDescent="0.2">
      <c r="D171" s="186" t="s">
        <v>180</v>
      </c>
      <c r="E171" s="159"/>
      <c r="F171" s="159"/>
      <c r="G171" s="159"/>
      <c r="H171" s="159"/>
      <c r="I171" s="159"/>
      <c r="Q171" s="186">
        <f t="shared" ref="Q171:AB171" si="48">+Q17</f>
        <v>1629.16947117</v>
      </c>
      <c r="R171" s="186">
        <f t="shared" si="48"/>
        <v>2135.9584502799989</v>
      </c>
      <c r="S171" s="186">
        <f t="shared" si="48"/>
        <v>2167.2786033999996</v>
      </c>
      <c r="T171" s="186">
        <f t="shared" si="48"/>
        <v>2054.9677086900006</v>
      </c>
      <c r="U171" s="186">
        <f t="shared" si="48"/>
        <v>2212.79820634</v>
      </c>
      <c r="V171" s="186">
        <f t="shared" si="48"/>
        <v>2231.4542158099994</v>
      </c>
      <c r="W171" s="186">
        <f t="shared" si="48"/>
        <v>2380.4914065200001</v>
      </c>
      <c r="X171" s="186">
        <f t="shared" si="48"/>
        <v>2564.8919063130011</v>
      </c>
      <c r="Y171" s="186">
        <f t="shared" si="48"/>
        <v>2222.9302814400003</v>
      </c>
      <c r="Z171" s="186">
        <f t="shared" si="48"/>
        <v>2437.3782145700002</v>
      </c>
      <c r="AA171" s="186">
        <f t="shared" si="48"/>
        <v>2419.9088385490004</v>
      </c>
      <c r="AB171" s="186">
        <f t="shared" si="48"/>
        <v>2512.5057451799998</v>
      </c>
      <c r="AC171" s="186">
        <f>+AC17</f>
        <v>26969.733048261998</v>
      </c>
      <c r="AD171" s="186">
        <f t="shared" ref="AD171:AI171" si="49">+AD17</f>
        <v>2041.47524279</v>
      </c>
      <c r="AE171" s="186">
        <f t="shared" si="49"/>
        <v>1887.3059540299998</v>
      </c>
      <c r="AF171" s="186">
        <f t="shared" si="49"/>
        <v>2367.5334772699998</v>
      </c>
      <c r="AG171" s="186">
        <f t="shared" si="49"/>
        <v>2041.5065467399997</v>
      </c>
      <c r="AH171" s="186">
        <f t="shared" si="49"/>
        <v>2561.5380389799998</v>
      </c>
      <c r="AI171" s="186">
        <f t="shared" si="49"/>
        <v>2381.8681980300012</v>
      </c>
      <c r="AT171" s="187"/>
    </row>
    <row r="172" spans="4:46" s="186" customFormat="1" x14ac:dyDescent="0.2">
      <c r="D172" s="186" t="s">
        <v>181</v>
      </c>
      <c r="E172" s="159"/>
      <c r="F172" s="159"/>
      <c r="G172" s="159"/>
      <c r="H172" s="159"/>
      <c r="I172" s="159"/>
      <c r="Q172" s="186">
        <f>+Q35</f>
        <v>0.91419530000000004</v>
      </c>
      <c r="R172" s="186">
        <f t="shared" ref="R172:AI172" si="50">+R35</f>
        <v>0.97043875000000002</v>
      </c>
      <c r="S172" s="186">
        <f t="shared" si="50"/>
        <v>1.30608952</v>
      </c>
      <c r="T172" s="186">
        <f t="shared" si="50"/>
        <v>0.8450704</v>
      </c>
      <c r="U172" s="186">
        <f t="shared" si="50"/>
        <v>0.49755851000000001</v>
      </c>
      <c r="V172" s="186">
        <f t="shared" si="50"/>
        <v>2.4016344364119999</v>
      </c>
      <c r="W172" s="186">
        <f t="shared" si="50"/>
        <v>0.6187086100000001</v>
      </c>
      <c r="X172" s="186">
        <f t="shared" si="50"/>
        <v>0.90257882000000011</v>
      </c>
      <c r="Y172" s="186">
        <f t="shared" si="50"/>
        <v>1.0159870400000002</v>
      </c>
      <c r="Z172" s="186">
        <f t="shared" si="50"/>
        <v>1.03692256</v>
      </c>
      <c r="AA172" s="186">
        <f t="shared" si="50"/>
        <v>1.0714308700000001</v>
      </c>
      <c r="AB172" s="186">
        <f t="shared" si="50"/>
        <v>5.6085792237399925</v>
      </c>
      <c r="AC172" s="186">
        <f t="shared" si="50"/>
        <v>17.189194040151996</v>
      </c>
      <c r="AD172" s="186">
        <f t="shared" si="50"/>
        <v>0.90076756000000002</v>
      </c>
      <c r="AE172" s="186">
        <f t="shared" si="50"/>
        <v>0.84049465000000012</v>
      </c>
      <c r="AF172" s="186">
        <f t="shared" si="50"/>
        <v>0.79584386000000007</v>
      </c>
      <c r="AG172" s="186">
        <f t="shared" si="50"/>
        <v>0.8302995600000006</v>
      </c>
      <c r="AH172" s="186">
        <f t="shared" si="50"/>
        <v>16.445788980000003</v>
      </c>
      <c r="AI172" s="186">
        <f t="shared" si="50"/>
        <v>2.5444810799410003</v>
      </c>
      <c r="AT172" s="187"/>
    </row>
    <row r="173" spans="4:46" s="186" customFormat="1" x14ac:dyDescent="0.2">
      <c r="D173" s="186" t="s">
        <v>28</v>
      </c>
      <c r="E173" s="159"/>
      <c r="F173" s="159"/>
      <c r="G173" s="159"/>
      <c r="H173" s="159"/>
      <c r="I173" s="159"/>
      <c r="Q173" s="186">
        <f>+Q39</f>
        <v>25.184782189249994</v>
      </c>
      <c r="R173" s="186">
        <f t="shared" ref="R173:AI173" si="51">+R39</f>
        <v>30.69435499999998</v>
      </c>
      <c r="S173" s="186">
        <f t="shared" si="51"/>
        <v>43.61309953</v>
      </c>
      <c r="T173" s="186">
        <f t="shared" si="51"/>
        <v>0.31012554999999703</v>
      </c>
      <c r="U173" s="186">
        <f t="shared" si="51"/>
        <v>25.133738298740006</v>
      </c>
      <c r="V173" s="186">
        <f t="shared" si="51"/>
        <v>29.782700891254002</v>
      </c>
      <c r="W173" s="186">
        <f t="shared" si="51"/>
        <v>68.678275797733107</v>
      </c>
      <c r="X173" s="186">
        <f t="shared" si="51"/>
        <v>142.41200876941002</v>
      </c>
      <c r="Y173" s="186">
        <f t="shared" si="51"/>
        <v>37.119999999999997</v>
      </c>
      <c r="Z173" s="186">
        <f t="shared" si="51"/>
        <v>74.101926352969954</v>
      </c>
      <c r="AA173" s="186">
        <f t="shared" si="51"/>
        <v>38.386924732638057</v>
      </c>
      <c r="AB173" s="186">
        <f t="shared" si="51"/>
        <v>5.9510934800000008</v>
      </c>
      <c r="AC173" s="186">
        <f t="shared" si="51"/>
        <v>521.36903059199517</v>
      </c>
      <c r="AD173" s="186">
        <f t="shared" si="51"/>
        <v>1.0649936642239999</v>
      </c>
      <c r="AE173" s="186">
        <f t="shared" si="51"/>
        <v>9.9859116899999787</v>
      </c>
      <c r="AF173" s="186">
        <f t="shared" si="51"/>
        <v>42.346851770000065</v>
      </c>
      <c r="AG173" s="186">
        <f t="shared" si="51"/>
        <v>30.293552003938007</v>
      </c>
      <c r="AH173" s="186">
        <f t="shared" si="51"/>
        <v>7.5668376800000008</v>
      </c>
      <c r="AI173" s="186">
        <f t="shared" si="51"/>
        <v>7.2870743167359979</v>
      </c>
      <c r="AT173" s="187"/>
    </row>
    <row r="174" spans="4:46" s="186" customFormat="1" x14ac:dyDescent="0.2">
      <c r="D174" s="186" t="s">
        <v>182</v>
      </c>
      <c r="E174" s="159"/>
      <c r="F174" s="159"/>
      <c r="G174" s="159"/>
      <c r="H174" s="159"/>
      <c r="I174" s="159"/>
      <c r="Q174" s="186">
        <f>+Q119</f>
        <v>703.78769999999997</v>
      </c>
      <c r="R174" s="186">
        <f t="shared" ref="R174:AI174" si="52">+R119</f>
        <v>1390.8180399818259</v>
      </c>
      <c r="S174" s="186">
        <f t="shared" si="52"/>
        <v>0</v>
      </c>
      <c r="T174" s="186">
        <f t="shared" si="52"/>
        <v>445.45596</v>
      </c>
      <c r="U174" s="186">
        <f t="shared" si="52"/>
        <v>891.41295600000001</v>
      </c>
      <c r="V174" s="186">
        <f t="shared" si="52"/>
        <v>365.60678148360006</v>
      </c>
      <c r="W174" s="186">
        <f t="shared" si="52"/>
        <v>2542.8516603525441</v>
      </c>
      <c r="X174" s="186">
        <f t="shared" si="52"/>
        <v>361.20581678059204</v>
      </c>
      <c r="Y174" s="186">
        <f t="shared" si="52"/>
        <v>480.95024599999999</v>
      </c>
      <c r="Z174" s="186">
        <f t="shared" si="52"/>
        <v>850.25906868336006</v>
      </c>
      <c r="AA174" s="186">
        <f t="shared" si="52"/>
        <v>1216.9333048188862</v>
      </c>
      <c r="AB174" s="186">
        <f t="shared" si="52"/>
        <v>0</v>
      </c>
      <c r="AC174" s="186">
        <f t="shared" si="52"/>
        <v>9249.2815341008081</v>
      </c>
      <c r="AD174" s="186">
        <f t="shared" si="52"/>
        <v>0</v>
      </c>
      <c r="AE174" s="186">
        <f t="shared" si="52"/>
        <v>703.8926896124791</v>
      </c>
      <c r="AF174" s="186">
        <f t="shared" si="52"/>
        <v>1923.089111171797</v>
      </c>
      <c r="AG174" s="186">
        <f t="shared" si="52"/>
        <v>1405.5528516358731</v>
      </c>
      <c r="AH174" s="186">
        <f t="shared" si="52"/>
        <v>0</v>
      </c>
      <c r="AI174" s="186">
        <f t="shared" si="52"/>
        <v>1419.93</v>
      </c>
      <c r="AT174" s="187"/>
    </row>
    <row r="175" spans="4:46" s="186" customFormat="1" x14ac:dyDescent="0.2">
      <c r="D175" s="191" t="s">
        <v>26</v>
      </c>
      <c r="E175" s="159"/>
      <c r="F175" s="159"/>
      <c r="G175" s="159"/>
      <c r="H175" s="159"/>
      <c r="I175" s="159"/>
      <c r="Q175" s="191">
        <f>SUM(Q171:Q174)</f>
        <v>2359.0561486592501</v>
      </c>
      <c r="R175" s="191">
        <f t="shared" ref="R175:AI175" si="53">SUM(R171:R174)</f>
        <v>3558.4412840118248</v>
      </c>
      <c r="S175" s="191">
        <f t="shared" si="53"/>
        <v>2212.1977924499997</v>
      </c>
      <c r="T175" s="191">
        <f t="shared" si="53"/>
        <v>2501.5788646400006</v>
      </c>
      <c r="U175" s="191">
        <f t="shared" si="53"/>
        <v>3129.8424591487401</v>
      </c>
      <c r="V175" s="191">
        <f t="shared" si="53"/>
        <v>2629.2453326212658</v>
      </c>
      <c r="W175" s="191">
        <f t="shared" si="53"/>
        <v>4992.6400512802775</v>
      </c>
      <c r="X175" s="191">
        <f t="shared" si="53"/>
        <v>3069.4123106830034</v>
      </c>
      <c r="Y175" s="191">
        <f t="shared" si="53"/>
        <v>2742.0165144799998</v>
      </c>
      <c r="Z175" s="191">
        <f t="shared" si="53"/>
        <v>3362.7761321663306</v>
      </c>
      <c r="AA175" s="191">
        <f t="shared" si="53"/>
        <v>3676.3004989705241</v>
      </c>
      <c r="AB175" s="191">
        <f t="shared" si="53"/>
        <v>2524.0654178837399</v>
      </c>
      <c r="AC175" s="191">
        <f t="shared" si="53"/>
        <v>36757.572806994955</v>
      </c>
      <c r="AD175" s="191">
        <f t="shared" si="53"/>
        <v>2043.4410040142241</v>
      </c>
      <c r="AE175" s="191">
        <f t="shared" si="53"/>
        <v>2602.0250499824788</v>
      </c>
      <c r="AF175" s="191">
        <f t="shared" si="53"/>
        <v>4333.7652840717965</v>
      </c>
      <c r="AG175" s="191">
        <f t="shared" si="53"/>
        <v>3478.183249939811</v>
      </c>
      <c r="AH175" s="191">
        <f t="shared" si="53"/>
        <v>2585.5506656399998</v>
      </c>
      <c r="AI175" s="191">
        <f t="shared" si="53"/>
        <v>3811.6297534266778</v>
      </c>
      <c r="AJ175" s="186">
        <f>+SUM(Q175:AB175)</f>
        <v>36757.572806994962</v>
      </c>
      <c r="AK175" s="186">
        <f>+AC175-AJ175</f>
        <v>0</v>
      </c>
      <c r="AT175" s="187"/>
    </row>
    <row r="176" spans="4:46" s="186" customFormat="1" x14ac:dyDescent="0.2">
      <c r="E176" s="159"/>
      <c r="F176" s="159"/>
      <c r="G176" s="159"/>
      <c r="H176" s="159"/>
      <c r="I176" s="159"/>
      <c r="AF176" s="186">
        <f>+AF175+AE175+AD175</f>
        <v>8979.2313380684991</v>
      </c>
      <c r="AG176" s="186">
        <f>+AG175+AF175+AE175</f>
        <v>10413.973583994088</v>
      </c>
      <c r="AH176" s="186">
        <f>SUM(AD175:AH175)</f>
        <v>15042.96525364831</v>
      </c>
      <c r="AI176" s="186">
        <f>SUM(AD175:AI175)</f>
        <v>18854.59500707499</v>
      </c>
      <c r="AT176" s="187"/>
    </row>
    <row r="177" spans="4:46" s="186" customFormat="1" x14ac:dyDescent="0.2">
      <c r="E177" s="159"/>
      <c r="F177" s="159"/>
      <c r="G177" s="159"/>
      <c r="H177" s="159"/>
      <c r="I177" s="159"/>
      <c r="AT177" s="187"/>
    </row>
    <row r="178" spans="4:46" s="186" customFormat="1" x14ac:dyDescent="0.2">
      <c r="D178" s="186" t="s">
        <v>183</v>
      </c>
      <c r="E178" s="159"/>
      <c r="F178" s="159"/>
      <c r="G178" s="159"/>
      <c r="H178" s="159"/>
      <c r="I178" s="159"/>
      <c r="P178" s="186" t="s">
        <v>184</v>
      </c>
      <c r="Q178" s="74">
        <f t="shared" ref="Q178:AC178" si="54">+Q53</f>
        <v>451.98179886678605</v>
      </c>
      <c r="R178" s="74">
        <f t="shared" si="54"/>
        <v>381.65168825872104</v>
      </c>
      <c r="S178" s="74">
        <f t="shared" si="54"/>
        <v>390.54376101196704</v>
      </c>
      <c r="T178" s="74">
        <f t="shared" si="54"/>
        <v>405.08671355570993</v>
      </c>
      <c r="U178" s="74">
        <f t="shared" si="54"/>
        <v>289.20688378253794</v>
      </c>
      <c r="V178" s="74">
        <f t="shared" si="54"/>
        <v>541.32845259979808</v>
      </c>
      <c r="W178" s="74">
        <f t="shared" si="54"/>
        <v>389.03201745598096</v>
      </c>
      <c r="X178" s="74">
        <f t="shared" si="54"/>
        <v>578.22021709731382</v>
      </c>
      <c r="Y178" s="74">
        <f t="shared" si="54"/>
        <v>340.95546741907594</v>
      </c>
      <c r="Z178" s="74">
        <f t="shared" si="54"/>
        <v>567.10180587204798</v>
      </c>
      <c r="AA178" s="74">
        <f t="shared" si="54"/>
        <v>570.20092578896981</v>
      </c>
      <c r="AB178" s="74">
        <f t="shared" si="54"/>
        <v>582.32031590918405</v>
      </c>
      <c r="AC178" s="74">
        <f t="shared" si="54"/>
        <v>5487.6300476180932</v>
      </c>
      <c r="AD178" s="74">
        <f t="shared" ref="AD178:AI178" si="55">+SUM(AD45:AD47)</f>
        <v>397.02631946815302</v>
      </c>
      <c r="AE178" s="74">
        <f t="shared" si="55"/>
        <v>418.58349697653892</v>
      </c>
      <c r="AF178" s="74">
        <f t="shared" si="55"/>
        <v>463.58114298452494</v>
      </c>
      <c r="AG178" s="74">
        <f t="shared" si="55"/>
        <v>372.37321679280905</v>
      </c>
      <c r="AH178" s="74">
        <f t="shared" si="55"/>
        <v>399.711365228082</v>
      </c>
      <c r="AI178" s="74">
        <f t="shared" si="55"/>
        <v>585.17594566551406</v>
      </c>
      <c r="AT178" s="187"/>
    </row>
    <row r="179" spans="4:46" x14ac:dyDescent="0.2">
      <c r="D179" s="26" t="s">
        <v>185</v>
      </c>
      <c r="P179" s="26" t="s">
        <v>186</v>
      </c>
      <c r="Q179" s="28">
        <f t="shared" ref="Q179:AI179" si="56">+Q76</f>
        <v>2090.3872311900004</v>
      </c>
      <c r="R179" s="28">
        <f t="shared" si="56"/>
        <v>2114.0499304986997</v>
      </c>
      <c r="S179" s="28">
        <f t="shared" si="56"/>
        <v>1246.26761078</v>
      </c>
      <c r="T179" s="28">
        <f t="shared" si="56"/>
        <v>1505.6405480400003</v>
      </c>
      <c r="U179" s="28">
        <f t="shared" si="56"/>
        <v>2156.2083794552864</v>
      </c>
      <c r="V179" s="28">
        <f t="shared" si="56"/>
        <v>1610.4194158500002</v>
      </c>
      <c r="W179" s="28">
        <f t="shared" si="56"/>
        <v>3659.6776227162995</v>
      </c>
      <c r="X179" s="28">
        <f t="shared" si="56"/>
        <v>1827.3744203058818</v>
      </c>
      <c r="Y179" s="28">
        <f t="shared" si="56"/>
        <v>2043.6148595963191</v>
      </c>
      <c r="Z179" s="28">
        <f t="shared" si="56"/>
        <v>2208.216559618892</v>
      </c>
      <c r="AA179" s="28">
        <f t="shared" si="56"/>
        <v>2672.1700194598789</v>
      </c>
      <c r="AB179" s="28">
        <f t="shared" si="56"/>
        <v>1522.4491021159699</v>
      </c>
      <c r="AC179" s="28">
        <f t="shared" si="56"/>
        <v>24656.475699627234</v>
      </c>
      <c r="AD179" s="28">
        <f t="shared" si="56"/>
        <v>1519.1640098257881</v>
      </c>
      <c r="AE179" s="28">
        <f t="shared" si="56"/>
        <v>1641.135440931464</v>
      </c>
      <c r="AF179" s="28">
        <f t="shared" si="56"/>
        <v>3338.243107065769</v>
      </c>
      <c r="AG179" s="28">
        <f t="shared" si="56"/>
        <v>2070.0645802231784</v>
      </c>
      <c r="AH179" s="28">
        <f t="shared" si="56"/>
        <v>1624.5657371271907</v>
      </c>
      <c r="AI179" s="28">
        <f t="shared" si="56"/>
        <v>2745.3205247695932</v>
      </c>
    </row>
    <row r="180" spans="4:46" x14ac:dyDescent="0.2">
      <c r="D180" s="26" t="s">
        <v>187</v>
      </c>
      <c r="P180" s="26" t="s">
        <v>188</v>
      </c>
      <c r="Q180" s="28">
        <f t="shared" ref="Q180:AI180" si="57">+Q83</f>
        <v>25.86092361</v>
      </c>
      <c r="R180" s="28">
        <f t="shared" si="57"/>
        <v>0</v>
      </c>
      <c r="S180" s="28">
        <f t="shared" si="57"/>
        <v>24.984989329999998</v>
      </c>
      <c r="T180" s="28">
        <f t="shared" si="57"/>
        <v>61.489118250000004</v>
      </c>
      <c r="U180" s="28">
        <f t="shared" si="57"/>
        <v>0</v>
      </c>
      <c r="V180" s="28">
        <f t="shared" si="57"/>
        <v>9.8053481999999992</v>
      </c>
      <c r="W180" s="28">
        <f t="shared" si="57"/>
        <v>12.43498091</v>
      </c>
      <c r="X180" s="28">
        <f t="shared" si="57"/>
        <v>31.610267129999997</v>
      </c>
      <c r="Y180" s="28">
        <f t="shared" si="57"/>
        <v>0.93351819999999996</v>
      </c>
      <c r="Z180" s="28">
        <f t="shared" si="57"/>
        <v>19.668130769999998</v>
      </c>
      <c r="AA180" s="28">
        <f t="shared" si="57"/>
        <v>17.822584639999999</v>
      </c>
      <c r="AB180" s="28">
        <f t="shared" si="57"/>
        <v>7.5905395400000009</v>
      </c>
      <c r="AC180" s="28">
        <f t="shared" si="57"/>
        <v>212.20040058000004</v>
      </c>
      <c r="AD180" s="28">
        <f t="shared" si="57"/>
        <v>6.5485185499999998</v>
      </c>
      <c r="AE180" s="28">
        <f t="shared" si="57"/>
        <v>17.267137609999999</v>
      </c>
      <c r="AF180" s="28">
        <f t="shared" si="57"/>
        <v>24.133999199999998</v>
      </c>
      <c r="AG180" s="28">
        <f t="shared" si="57"/>
        <v>14.77017253</v>
      </c>
      <c r="AH180" s="28">
        <f t="shared" si="57"/>
        <v>4.9128159900000004</v>
      </c>
      <c r="AI180" s="28">
        <f t="shared" si="57"/>
        <v>14.756067679999999</v>
      </c>
    </row>
    <row r="181" spans="4:46" x14ac:dyDescent="0.2">
      <c r="D181" s="26" t="s">
        <v>189</v>
      </c>
      <c r="P181" s="26" t="s">
        <v>190</v>
      </c>
      <c r="Q181" s="28">
        <f t="shared" ref="Q181:AI181" si="58">+Q89</f>
        <v>197.474999365234</v>
      </c>
      <c r="R181" s="28">
        <f t="shared" si="58"/>
        <v>160.74975464711801</v>
      </c>
      <c r="S181" s="28">
        <f t="shared" si="58"/>
        <v>148.42995787134444</v>
      </c>
      <c r="T181" s="28">
        <f t="shared" si="58"/>
        <v>156.92046305389999</v>
      </c>
      <c r="U181" s="28">
        <f t="shared" si="58"/>
        <v>149.74686965032211</v>
      </c>
      <c r="V181" s="28">
        <f t="shared" si="58"/>
        <v>147.69292603731927</v>
      </c>
      <c r="W181" s="28">
        <f t="shared" si="58"/>
        <v>143.6830927758659</v>
      </c>
      <c r="X181" s="28">
        <f t="shared" si="58"/>
        <v>146.79700754907259</v>
      </c>
      <c r="Y181" s="28">
        <f t="shared" si="58"/>
        <v>145.69662724328398</v>
      </c>
      <c r="Z181" s="28">
        <f t="shared" si="58"/>
        <v>144.71758347004379</v>
      </c>
      <c r="AA181" s="28">
        <f t="shared" si="58"/>
        <v>138.8808756150847</v>
      </c>
      <c r="AB181" s="28">
        <f t="shared" si="58"/>
        <v>138.485974686628</v>
      </c>
      <c r="AC181" s="28">
        <f t="shared" si="58"/>
        <v>1819.2761319652166</v>
      </c>
      <c r="AD181" s="28">
        <f t="shared" si="58"/>
        <v>141.1772541042111</v>
      </c>
      <c r="AE181" s="28">
        <f t="shared" si="58"/>
        <v>132.4083389720692</v>
      </c>
      <c r="AF181" s="28">
        <f t="shared" si="58"/>
        <v>124.02761022024701</v>
      </c>
      <c r="AG181" s="28">
        <f t="shared" si="58"/>
        <v>139.24210705005711</v>
      </c>
      <c r="AH181" s="28">
        <f t="shared" si="58"/>
        <v>120.79178318456879</v>
      </c>
      <c r="AI181" s="28">
        <f t="shared" si="58"/>
        <v>134.88410656082803</v>
      </c>
    </row>
    <row r="182" spans="4:46" x14ac:dyDescent="0.2">
      <c r="D182" s="26" t="s">
        <v>191</v>
      </c>
      <c r="P182" s="26" t="s">
        <v>139</v>
      </c>
      <c r="Q182" s="162">
        <f t="shared" ref="Q182:AI182" si="59">+Q92</f>
        <v>32.291832861290999</v>
      </c>
      <c r="R182" s="162">
        <f t="shared" si="59"/>
        <v>0.25433676980000736</v>
      </c>
      <c r="S182" s="162">
        <f t="shared" si="59"/>
        <v>0.16063940949999997</v>
      </c>
      <c r="T182" s="162">
        <f t="shared" si="59"/>
        <v>0.21412328299999997</v>
      </c>
      <c r="U182" s="162">
        <f t="shared" si="59"/>
        <v>16.974213052600014</v>
      </c>
      <c r="V182" s="162">
        <f t="shared" si="59"/>
        <v>1.2199716412000003</v>
      </c>
      <c r="W182" s="162">
        <f t="shared" si="59"/>
        <v>0.25471436559999999</v>
      </c>
      <c r="X182" s="162">
        <f t="shared" si="59"/>
        <v>0.48485184019999977</v>
      </c>
      <c r="Y182" s="162">
        <f t="shared" si="59"/>
        <v>0.16479305590000001</v>
      </c>
      <c r="Z182" s="162">
        <f t="shared" si="59"/>
        <v>0.16159305979999999</v>
      </c>
      <c r="AA182" s="162">
        <f t="shared" si="59"/>
        <v>0.47841992420000007</v>
      </c>
      <c r="AB182" s="162">
        <f t="shared" si="59"/>
        <v>0.14769593849999998</v>
      </c>
      <c r="AC182" s="162">
        <f t="shared" si="59"/>
        <v>52.807185201591011</v>
      </c>
      <c r="AD182" s="162">
        <f t="shared" si="59"/>
        <v>29.546811669199997</v>
      </c>
      <c r="AE182" s="162">
        <f t="shared" si="59"/>
        <v>0.7434659562999999</v>
      </c>
      <c r="AF182" s="162">
        <f t="shared" si="59"/>
        <v>0.23259785520000001</v>
      </c>
      <c r="AG182" s="162">
        <f t="shared" si="59"/>
        <v>0.11979729880000001</v>
      </c>
      <c r="AH182" s="162">
        <f t="shared" si="59"/>
        <v>0.19554086179999999</v>
      </c>
      <c r="AI182" s="162">
        <f t="shared" si="59"/>
        <v>0.19554086179999999</v>
      </c>
    </row>
    <row r="183" spans="4:46" x14ac:dyDescent="0.2">
      <c r="D183" s="26" t="s">
        <v>192</v>
      </c>
      <c r="P183" s="26" t="s">
        <v>193</v>
      </c>
      <c r="Q183" s="192">
        <f t="shared" ref="Q183:AI183" si="60">+Q107+Q108</f>
        <v>59.605789799999997</v>
      </c>
      <c r="R183" s="192">
        <f t="shared" si="60"/>
        <v>37.798173939999991</v>
      </c>
      <c r="S183" s="192">
        <f t="shared" si="60"/>
        <v>83.63746574000001</v>
      </c>
      <c r="T183" s="192">
        <f t="shared" si="60"/>
        <v>78.593637860000015</v>
      </c>
      <c r="U183" s="192">
        <f t="shared" si="60"/>
        <v>78.188895369999983</v>
      </c>
      <c r="V183" s="192">
        <f t="shared" si="60"/>
        <v>52.456964040000003</v>
      </c>
      <c r="W183" s="192">
        <f t="shared" si="60"/>
        <v>43.615200829999999</v>
      </c>
      <c r="X183" s="192">
        <f t="shared" si="60"/>
        <v>43.9335801</v>
      </c>
      <c r="Y183" s="192">
        <f t="shared" si="60"/>
        <v>62.786995619999999</v>
      </c>
      <c r="Z183" s="192">
        <f t="shared" si="60"/>
        <v>69.625610600000002</v>
      </c>
      <c r="AA183" s="192">
        <f t="shared" si="60"/>
        <v>82.443576140000005</v>
      </c>
      <c r="AB183" s="192">
        <f t="shared" si="60"/>
        <v>80.411568720000005</v>
      </c>
      <c r="AC183" s="192">
        <f t="shared" si="60"/>
        <v>773.09745875999999</v>
      </c>
      <c r="AD183" s="192">
        <f t="shared" si="60"/>
        <v>73.226909710000001</v>
      </c>
      <c r="AE183" s="192">
        <f t="shared" si="60"/>
        <v>77.556365169999992</v>
      </c>
      <c r="AF183" s="192">
        <f t="shared" si="60"/>
        <v>57.150040529999998</v>
      </c>
      <c r="AG183" s="192">
        <f t="shared" si="60"/>
        <v>59.991777599999999</v>
      </c>
      <c r="AH183" s="192">
        <f t="shared" si="60"/>
        <v>82.394782059999997</v>
      </c>
      <c r="AI183" s="192">
        <f t="shared" si="60"/>
        <v>74.0556847</v>
      </c>
    </row>
    <row r="184" spans="4:46" x14ac:dyDescent="0.2">
      <c r="D184" s="26" t="s">
        <v>10</v>
      </c>
      <c r="P184" s="26" t="s">
        <v>10</v>
      </c>
      <c r="Q184" s="74">
        <f t="shared" ref="Q184:AI184" si="61">-Q115</f>
        <v>325.05140201</v>
      </c>
      <c r="R184" s="74">
        <f t="shared" si="61"/>
        <v>24.31936451</v>
      </c>
      <c r="S184" s="74">
        <f t="shared" si="61"/>
        <v>71.426807240000002</v>
      </c>
      <c r="T184" s="74">
        <f t="shared" si="61"/>
        <v>53.18220221</v>
      </c>
      <c r="U184" s="74">
        <f t="shared" si="61"/>
        <v>62.147457590000002</v>
      </c>
      <c r="V184" s="74">
        <f t="shared" si="61"/>
        <v>31.572108459999999</v>
      </c>
      <c r="W184" s="74">
        <f t="shared" si="61"/>
        <v>26.02188924</v>
      </c>
      <c r="X184" s="74">
        <f t="shared" si="61"/>
        <v>100.65178783</v>
      </c>
      <c r="Y184" s="74">
        <f t="shared" si="61"/>
        <v>12.493530850000001</v>
      </c>
      <c r="Z184" s="74">
        <f t="shared" si="61"/>
        <v>69.550611790000005</v>
      </c>
      <c r="AA184" s="74">
        <f t="shared" si="61"/>
        <v>101.04179622000001</v>
      </c>
      <c r="AB184" s="74">
        <f t="shared" si="61"/>
        <v>59.001926509999905</v>
      </c>
      <c r="AC184" s="74">
        <f t="shared" si="61"/>
        <v>936.46088445999976</v>
      </c>
      <c r="AD184" s="74">
        <f t="shared" si="61"/>
        <v>17.179068940000001</v>
      </c>
      <c r="AE184" s="74">
        <f t="shared" si="61"/>
        <v>79.921917370000003</v>
      </c>
      <c r="AF184" s="74">
        <f t="shared" si="61"/>
        <v>138.17147499000001</v>
      </c>
      <c r="AG184" s="74">
        <f t="shared" si="61"/>
        <v>108.42387065</v>
      </c>
      <c r="AH184" s="74">
        <f t="shared" si="61"/>
        <v>89.687499829999993</v>
      </c>
      <c r="AI184" s="74">
        <f t="shared" si="61"/>
        <v>89.687499829999993</v>
      </c>
    </row>
    <row r="185" spans="4:46" x14ac:dyDescent="0.2">
      <c r="D185" s="193" t="s">
        <v>194</v>
      </c>
      <c r="Q185" s="194">
        <f>SUM(Q178:Q184)</f>
        <v>3182.6539777033113</v>
      </c>
      <c r="R185" s="194">
        <f t="shared" ref="R185:AI185" si="62">SUM(R178:R184)</f>
        <v>2718.8232486243392</v>
      </c>
      <c r="S185" s="194">
        <f t="shared" si="62"/>
        <v>1965.4512313828113</v>
      </c>
      <c r="T185" s="194">
        <f t="shared" si="62"/>
        <v>2261.1268062526101</v>
      </c>
      <c r="U185" s="194">
        <f t="shared" si="62"/>
        <v>2752.4726989007468</v>
      </c>
      <c r="V185" s="194">
        <f t="shared" si="62"/>
        <v>2394.4951868283179</v>
      </c>
      <c r="W185" s="194">
        <f t="shared" si="62"/>
        <v>4274.7195182937458</v>
      </c>
      <c r="X185" s="194">
        <f t="shared" si="62"/>
        <v>2729.0721318524684</v>
      </c>
      <c r="Y185" s="194">
        <f t="shared" si="62"/>
        <v>2606.6457919845793</v>
      </c>
      <c r="Z185" s="194">
        <f t="shared" si="62"/>
        <v>3079.0418951807837</v>
      </c>
      <c r="AA185" s="194">
        <f t="shared" si="62"/>
        <v>3583.0381977881334</v>
      </c>
      <c r="AB185" s="194">
        <f t="shared" si="62"/>
        <v>2390.407123420282</v>
      </c>
      <c r="AC185" s="194">
        <f t="shared" si="62"/>
        <v>33937.947808212135</v>
      </c>
      <c r="AD185" s="194">
        <f t="shared" si="62"/>
        <v>2183.8688922673523</v>
      </c>
      <c r="AE185" s="194">
        <f t="shared" si="62"/>
        <v>2367.6161629863718</v>
      </c>
      <c r="AF185" s="194">
        <f t="shared" si="62"/>
        <v>4145.5399728457405</v>
      </c>
      <c r="AG185" s="194">
        <f t="shared" si="62"/>
        <v>2764.9855221448452</v>
      </c>
      <c r="AH185" s="194">
        <f t="shared" si="62"/>
        <v>2322.2595242816415</v>
      </c>
      <c r="AI185" s="194">
        <f t="shared" si="62"/>
        <v>3644.0753700677351</v>
      </c>
      <c r="AJ185" s="74">
        <f>+SUM(Q185:AB185)</f>
        <v>33937.947808212128</v>
      </c>
      <c r="AK185" s="26">
        <f>+AC185-AJ185</f>
        <v>0</v>
      </c>
    </row>
    <row r="186" spans="4:46" x14ac:dyDescent="0.2">
      <c r="AI186" s="74">
        <f>SUM(AD185:AI185)</f>
        <v>17428.345444593688</v>
      </c>
      <c r="AJ186" s="74">
        <f>+AF185+AE185+AD185</f>
        <v>8697.0250280994642</v>
      </c>
    </row>
    <row r="187" spans="4:46" x14ac:dyDescent="0.2">
      <c r="D187" s="193" t="s">
        <v>30</v>
      </c>
      <c r="Q187" s="194">
        <v>3182.6539777033113</v>
      </c>
      <c r="R187" s="194">
        <v>2718.8232486243392</v>
      </c>
      <c r="S187" s="194">
        <v>1965.4512313828113</v>
      </c>
      <c r="T187" s="194">
        <v>2261.1268062526101</v>
      </c>
      <c r="U187" s="194">
        <v>2752.4726989007468</v>
      </c>
      <c r="V187" s="194">
        <v>2394.4951868283179</v>
      </c>
      <c r="W187" s="194">
        <v>4244.2543297737457</v>
      </c>
      <c r="X187" s="194">
        <v>2701.0252898424683</v>
      </c>
      <c r="Y187" s="194">
        <v>2559.2764189999289</v>
      </c>
      <c r="Z187" s="194">
        <v>3028.1335577307841</v>
      </c>
      <c r="AA187" s="194">
        <v>3559.7164337273334</v>
      </c>
      <c r="AB187" s="194">
        <v>2369.8497434233059</v>
      </c>
      <c r="AC187" s="194">
        <f>SUM(Q187:AA187)</f>
        <v>31367.429179766397</v>
      </c>
      <c r="AD187" s="194">
        <v>2183.8688922673523</v>
      </c>
      <c r="AE187" s="194">
        <v>2367.6161629863718</v>
      </c>
      <c r="AF187" s="194">
        <v>4145.5399728457405</v>
      </c>
      <c r="AG187" s="194">
        <v>2764.9855221448452</v>
      </c>
      <c r="AH187" s="194">
        <v>2322.2595242816415</v>
      </c>
      <c r="AI187" s="194">
        <v>3644.0753700677351</v>
      </c>
    </row>
    <row r="188" spans="4:46" x14ac:dyDescent="0.2">
      <c r="W188" s="74">
        <f t="shared" ref="W188:AI188" si="63">+W185-W187</f>
        <v>30.465188520000083</v>
      </c>
      <c r="X188" s="74">
        <f t="shared" si="63"/>
        <v>28.046842010000091</v>
      </c>
      <c r="Y188" s="74">
        <f t="shared" si="63"/>
        <v>47.369372984650454</v>
      </c>
      <c r="Z188" s="74">
        <f t="shared" si="63"/>
        <v>50.908337449999635</v>
      </c>
      <c r="AA188" s="74">
        <f t="shared" si="63"/>
        <v>23.321764060799978</v>
      </c>
      <c r="AB188" s="74">
        <f t="shared" si="63"/>
        <v>20.557379996976124</v>
      </c>
      <c r="AC188" s="74">
        <f>SUM(W188:Y188)</f>
        <v>105.88140351465063</v>
      </c>
      <c r="AD188" s="74">
        <f t="shared" si="63"/>
        <v>0</v>
      </c>
      <c r="AE188" s="74">
        <f t="shared" si="63"/>
        <v>0</v>
      </c>
      <c r="AF188" s="74">
        <f t="shared" si="63"/>
        <v>0</v>
      </c>
      <c r="AG188" s="74">
        <f t="shared" si="63"/>
        <v>0</v>
      </c>
      <c r="AH188" s="74">
        <f t="shared" si="63"/>
        <v>0</v>
      </c>
      <c r="AI188" s="74">
        <f t="shared" si="63"/>
        <v>0</v>
      </c>
      <c r="AJ188" s="28">
        <f>+AI176-AI186</f>
        <v>1426.2495624813018</v>
      </c>
    </row>
    <row r="189" spans="4:46" x14ac:dyDescent="0.2"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</row>
    <row r="190" spans="4:46" x14ac:dyDescent="0.2">
      <c r="W190" s="74"/>
      <c r="X190" s="74"/>
      <c r="Y190" s="74"/>
      <c r="Z190" s="74"/>
      <c r="AA190" s="74"/>
      <c r="AB190" s="74"/>
      <c r="AC190" s="74"/>
      <c r="AD190" s="74"/>
      <c r="AE190" s="74"/>
      <c r="AF190" s="74"/>
      <c r="AG190" s="74"/>
      <c r="AH190" s="74"/>
      <c r="AI190" s="74"/>
    </row>
    <row r="191" spans="4:46" x14ac:dyDescent="0.2">
      <c r="D191" s="26" t="s">
        <v>181</v>
      </c>
      <c r="Q191" s="74">
        <f t="shared" ref="Q191:AB191" si="64">+Q30</f>
        <v>6379.59</v>
      </c>
      <c r="R191" s="74">
        <f t="shared" si="64"/>
        <v>0</v>
      </c>
      <c r="S191" s="74">
        <f t="shared" si="64"/>
        <v>0</v>
      </c>
      <c r="T191" s="74">
        <f t="shared" si="64"/>
        <v>0</v>
      </c>
      <c r="U191" s="74">
        <f t="shared" si="64"/>
        <v>713.99844464844409</v>
      </c>
      <c r="V191" s="74">
        <f t="shared" si="64"/>
        <v>714.8047482042241</v>
      </c>
      <c r="W191" s="74">
        <f t="shared" si="64"/>
        <v>715.48088863336</v>
      </c>
      <c r="X191" s="74">
        <f t="shared" si="64"/>
        <v>715.53688863334014</v>
      </c>
      <c r="Y191" s="74">
        <f t="shared" si="64"/>
        <v>716.37066641081992</v>
      </c>
      <c r="Z191" s="74">
        <f t="shared" si="64"/>
        <v>721.73422196445995</v>
      </c>
      <c r="AA191" s="74">
        <f t="shared" si="64"/>
        <v>724.25422242915204</v>
      </c>
      <c r="AB191" s="74">
        <f t="shared" si="64"/>
        <v>725.59511131842407</v>
      </c>
      <c r="AC191" s="74">
        <f>+AC30</f>
        <v>12127.365192242223</v>
      </c>
      <c r="AD191" s="74">
        <f t="shared" ref="AD191:AI191" si="65">+AD30</f>
        <v>6541.5420000000004</v>
      </c>
      <c r="AE191" s="74">
        <f>+AE30+AE31</f>
        <v>150</v>
      </c>
      <c r="AF191" s="74">
        <f t="shared" si="65"/>
        <v>0</v>
      </c>
      <c r="AG191" s="74">
        <f t="shared" si="65"/>
        <v>0</v>
      </c>
      <c r="AH191" s="74">
        <f t="shared" si="65"/>
        <v>737.79844465524411</v>
      </c>
      <c r="AI191" s="74">
        <f t="shared" si="65"/>
        <v>1478.155778200108</v>
      </c>
    </row>
    <row r="192" spans="4:46" x14ac:dyDescent="0.2">
      <c r="D192" s="26" t="s">
        <v>195</v>
      </c>
      <c r="Q192" s="74">
        <f>+Q86</f>
        <v>5927.9257463072117</v>
      </c>
      <c r="R192" s="74">
        <f t="shared" ref="R192:AI192" si="66">+R86</f>
        <v>258.09749595522896</v>
      </c>
      <c r="S192" s="74">
        <f t="shared" si="66"/>
        <v>258.32268302460147</v>
      </c>
      <c r="T192" s="74">
        <f t="shared" si="66"/>
        <v>974.69610835043602</v>
      </c>
      <c r="U192" s="74">
        <f t="shared" si="66"/>
        <v>974.14526211470104</v>
      </c>
      <c r="V192" s="74">
        <f t="shared" si="66"/>
        <v>980.09077569896795</v>
      </c>
      <c r="W192" s="74">
        <f t="shared" si="66"/>
        <v>981.06706575116164</v>
      </c>
      <c r="X192" s="74">
        <f t="shared" si="66"/>
        <v>989.62393852207026</v>
      </c>
      <c r="Y192" s="74">
        <f t="shared" si="66"/>
        <v>990.40513474498812</v>
      </c>
      <c r="Z192" s="74">
        <f t="shared" si="66"/>
        <v>990.14180348929608</v>
      </c>
      <c r="AA192" s="74">
        <f t="shared" si="66"/>
        <v>987.27142571751494</v>
      </c>
      <c r="AB192" s="74">
        <f t="shared" si="66"/>
        <v>986.31599392578403</v>
      </c>
      <c r="AC192" s="74">
        <f t="shared" si="66"/>
        <v>15298.103433601962</v>
      </c>
      <c r="AD192" s="74">
        <f t="shared" si="66"/>
        <v>6075.2413410470099</v>
      </c>
      <c r="AE192" s="74">
        <f t="shared" si="66"/>
        <v>263.01082890997003</v>
      </c>
      <c r="AF192" s="74">
        <f t="shared" si="66"/>
        <v>263.77975066363996</v>
      </c>
      <c r="AG192" s="74">
        <f t="shared" si="66"/>
        <v>980.79328594087883</v>
      </c>
      <c r="AH192" s="74">
        <f t="shared" si="66"/>
        <v>1023.7619309794331</v>
      </c>
      <c r="AI192" s="74">
        <f t="shared" si="66"/>
        <v>1139.009544907301</v>
      </c>
    </row>
    <row r="193" spans="4:37" x14ac:dyDescent="0.2">
      <c r="D193" s="26" t="s">
        <v>196</v>
      </c>
      <c r="Q193" s="74">
        <f>+Q191-Q192</f>
        <v>451.66425369278841</v>
      </c>
      <c r="R193" s="74">
        <f t="shared" ref="R193:AB193" si="67">+R191-R192</f>
        <v>-258.09749595522896</v>
      </c>
      <c r="S193" s="74">
        <f t="shared" si="67"/>
        <v>-258.32268302460147</v>
      </c>
      <c r="T193" s="74">
        <f t="shared" si="67"/>
        <v>-974.69610835043602</v>
      </c>
      <c r="U193" s="74">
        <f t="shared" si="67"/>
        <v>-260.14681746625695</v>
      </c>
      <c r="V193" s="74">
        <f t="shared" si="67"/>
        <v>-265.28602749474385</v>
      </c>
      <c r="W193" s="74">
        <f t="shared" si="67"/>
        <v>-265.58617711780164</v>
      </c>
      <c r="X193" s="74">
        <f t="shared" si="67"/>
        <v>-274.08704988873012</v>
      </c>
      <c r="Y193" s="74">
        <f t="shared" si="67"/>
        <v>-274.0344683341682</v>
      </c>
      <c r="Z193" s="74">
        <f t="shared" si="67"/>
        <v>-268.40758152483613</v>
      </c>
      <c r="AA193" s="74">
        <f t="shared" si="67"/>
        <v>-263.01720328836291</v>
      </c>
      <c r="AB193" s="74">
        <f t="shared" si="67"/>
        <v>-260.72088260735995</v>
      </c>
      <c r="AC193" s="74">
        <f>SUM(Q193:AA193)</f>
        <v>-2910.0173587523777</v>
      </c>
      <c r="AD193" s="74">
        <f t="shared" ref="AD193:AI193" si="68">+AD191-AD192</f>
        <v>466.30065895299049</v>
      </c>
      <c r="AE193" s="74">
        <f t="shared" si="68"/>
        <v>-113.01082890997003</v>
      </c>
      <c r="AF193" s="74">
        <f t="shared" si="68"/>
        <v>-263.77975066363996</v>
      </c>
      <c r="AG193" s="74">
        <f t="shared" si="68"/>
        <v>-980.79328594087883</v>
      </c>
      <c r="AH193" s="74">
        <f t="shared" si="68"/>
        <v>-285.96348632418903</v>
      </c>
      <c r="AI193" s="74">
        <f t="shared" si="68"/>
        <v>339.14623329280698</v>
      </c>
      <c r="AJ193" s="74">
        <f>+SUM(AD193:AI193)</f>
        <v>-838.1004595928805</v>
      </c>
      <c r="AK193" s="28">
        <f>+AJ188+AJ193</f>
        <v>588.14910288842134</v>
      </c>
    </row>
    <row r="194" spans="4:37" x14ac:dyDescent="0.2">
      <c r="W194" s="74"/>
      <c r="X194" s="74"/>
      <c r="Y194" s="74"/>
      <c r="Z194" s="74"/>
      <c r="AA194" s="74"/>
      <c r="AB194" s="74"/>
      <c r="AC194" s="74"/>
      <c r="AD194" s="74"/>
      <c r="AE194" s="74"/>
      <c r="AF194" s="74"/>
      <c r="AG194" s="74"/>
      <c r="AH194" s="74"/>
      <c r="AI194" s="74"/>
      <c r="AJ194" s="74">
        <f>+AD193+AE193+AF193</f>
        <v>89.5100793793805</v>
      </c>
    </row>
    <row r="195" spans="4:37" x14ac:dyDescent="0.2">
      <c r="D195" s="26" t="s">
        <v>197</v>
      </c>
      <c r="Q195" s="28">
        <f>+Q175-Q187+Q191-Q192</f>
        <v>-371.93357535127325</v>
      </c>
      <c r="R195" s="28">
        <f>+R175-R187+R191-R192</f>
        <v>581.52053943225667</v>
      </c>
      <c r="S195" s="28">
        <f t="shared" ref="S195:AI195" si="69">+S175-S187+S191-S192</f>
        <v>-11.576121957413079</v>
      </c>
      <c r="T195" s="28">
        <f t="shared" si="69"/>
        <v>-734.24404996304554</v>
      </c>
      <c r="U195" s="28">
        <f t="shared" si="69"/>
        <v>117.22294278173638</v>
      </c>
      <c r="V195" s="28">
        <f t="shared" si="69"/>
        <v>-30.535881701795915</v>
      </c>
      <c r="W195" s="28">
        <f t="shared" si="69"/>
        <v>482.79954438873006</v>
      </c>
      <c r="X195" s="28">
        <f t="shared" si="69"/>
        <v>94.299970951804994</v>
      </c>
      <c r="Y195" s="28">
        <f t="shared" si="69"/>
        <v>-91.294372854097219</v>
      </c>
      <c r="Z195" s="28">
        <f t="shared" si="69"/>
        <v>66.234992910710389</v>
      </c>
      <c r="AA195" s="28">
        <f t="shared" si="69"/>
        <v>-146.4331380451722</v>
      </c>
      <c r="AB195" s="28">
        <f t="shared" si="69"/>
        <v>-106.50520814692595</v>
      </c>
      <c r="AC195" s="28">
        <f t="shared" si="69"/>
        <v>2219.4053858688167</v>
      </c>
      <c r="AD195" s="28">
        <f t="shared" si="69"/>
        <v>325.87277069986249</v>
      </c>
      <c r="AE195" s="28">
        <f t="shared" si="69"/>
        <v>121.39805808613693</v>
      </c>
      <c r="AF195" s="28">
        <f t="shared" si="69"/>
        <v>-75.554439437583994</v>
      </c>
      <c r="AG195" s="28">
        <f t="shared" si="69"/>
        <v>-267.59555814591295</v>
      </c>
      <c r="AH195" s="28">
        <f t="shared" si="69"/>
        <v>-22.672344965830689</v>
      </c>
      <c r="AI195" s="28">
        <f t="shared" si="69"/>
        <v>506.70061665174967</v>
      </c>
      <c r="AJ195" s="74">
        <f>+AC195-AC188</f>
        <v>2113.523982354166</v>
      </c>
    </row>
    <row r="196" spans="4:37" x14ac:dyDescent="0.2">
      <c r="Q196" s="128"/>
      <c r="R196" s="128"/>
      <c r="S196" s="128"/>
      <c r="T196" s="128"/>
      <c r="U196" s="128"/>
      <c r="V196" s="128"/>
      <c r="W196" s="128"/>
      <c r="X196" s="128"/>
      <c r="Y196" s="128"/>
      <c r="Z196" s="128"/>
      <c r="AA196" s="128"/>
      <c r="AB196" s="128"/>
      <c r="AC196" s="74"/>
      <c r="AD196" s="74"/>
      <c r="AE196" s="74"/>
      <c r="AF196" s="74"/>
      <c r="AG196" s="74"/>
      <c r="AH196" s="74"/>
      <c r="AI196" s="74"/>
    </row>
    <row r="197" spans="4:37" x14ac:dyDescent="0.2">
      <c r="D197" s="26" t="s">
        <v>198</v>
      </c>
      <c r="Q197" s="28">
        <f>+Q175-Q185+Q191-Q192</f>
        <v>-371.93357535127325</v>
      </c>
      <c r="R197" s="28">
        <f t="shared" ref="R197:AI197" si="70">+R175-R185+R191-R192</f>
        <v>581.52053943225667</v>
      </c>
      <c r="S197" s="28">
        <f t="shared" si="70"/>
        <v>-11.576121957413079</v>
      </c>
      <c r="T197" s="28">
        <f t="shared" si="70"/>
        <v>-734.24404996304554</v>
      </c>
      <c r="U197" s="28">
        <f t="shared" si="70"/>
        <v>117.22294278173638</v>
      </c>
      <c r="V197" s="28">
        <f t="shared" si="70"/>
        <v>-30.535881701795915</v>
      </c>
      <c r="W197" s="28">
        <f t="shared" si="70"/>
        <v>452.33435586872997</v>
      </c>
      <c r="X197" s="28">
        <f t="shared" si="70"/>
        <v>66.253128941804903</v>
      </c>
      <c r="Y197" s="28">
        <f t="shared" si="70"/>
        <v>-138.66374583874767</v>
      </c>
      <c r="Z197" s="28">
        <f t="shared" si="70"/>
        <v>15.326655460710754</v>
      </c>
      <c r="AA197" s="28">
        <f t="shared" si="70"/>
        <v>-169.75490210597218</v>
      </c>
      <c r="AB197" s="28">
        <f t="shared" si="70"/>
        <v>-127.06258814390208</v>
      </c>
      <c r="AC197" s="74">
        <f t="shared" si="70"/>
        <v>-351.11324257691922</v>
      </c>
      <c r="AD197" s="28">
        <f t="shared" si="70"/>
        <v>325.87277069986249</v>
      </c>
      <c r="AE197" s="28">
        <f t="shared" si="70"/>
        <v>121.39805808613693</v>
      </c>
      <c r="AF197" s="28">
        <f t="shared" si="70"/>
        <v>-75.554439437583994</v>
      </c>
      <c r="AG197" s="28">
        <f t="shared" si="70"/>
        <v>-267.59555814591295</v>
      </c>
      <c r="AH197" s="28">
        <f t="shared" si="70"/>
        <v>-22.672344965830689</v>
      </c>
      <c r="AI197" s="28">
        <f t="shared" si="70"/>
        <v>506.70061665174967</v>
      </c>
      <c r="AJ197" s="74">
        <f>+AC197-AC195</f>
        <v>-2570.5186284457359</v>
      </c>
      <c r="AK197" s="74">
        <f>+AJ197+AC188</f>
        <v>-2464.6372249310853</v>
      </c>
    </row>
    <row r="198" spans="4:37" x14ac:dyDescent="0.2">
      <c r="W198" s="74"/>
      <c r="X198" s="74"/>
      <c r="Y198" s="74"/>
      <c r="Z198" s="74"/>
      <c r="AA198" s="74"/>
      <c r="AB198" s="74"/>
      <c r="AC198" s="74"/>
      <c r="AD198" s="74"/>
      <c r="AE198" s="74"/>
      <c r="AF198" s="74"/>
      <c r="AG198" s="74"/>
      <c r="AH198" s="74"/>
      <c r="AI198" s="74"/>
    </row>
    <row r="199" spans="4:37" x14ac:dyDescent="0.2">
      <c r="W199" s="74"/>
      <c r="X199" s="74"/>
      <c r="Y199" s="74"/>
      <c r="Z199" s="74"/>
      <c r="AA199" s="74"/>
      <c r="AB199" s="74"/>
      <c r="AC199" s="74"/>
      <c r="AD199" s="74"/>
      <c r="AF199" s="74"/>
      <c r="AG199" s="74"/>
      <c r="AH199" s="74"/>
      <c r="AI199" s="74"/>
    </row>
    <row r="200" spans="4:37" x14ac:dyDescent="0.2">
      <c r="D200" s="26" t="s">
        <v>199</v>
      </c>
      <c r="W200" s="74"/>
      <c r="X200" s="74"/>
      <c r="Y200" s="74"/>
      <c r="Z200" s="74"/>
      <c r="AA200" s="74"/>
      <c r="AB200" s="74"/>
      <c r="AC200" s="74"/>
      <c r="AD200" s="74">
        <f t="shared" ref="AD200:AI200" si="71">+AD30++AD31</f>
        <v>6541.5420000000004</v>
      </c>
      <c r="AE200" s="74">
        <f t="shared" si="71"/>
        <v>150</v>
      </c>
      <c r="AF200" s="74">
        <f t="shared" si="71"/>
        <v>0</v>
      </c>
      <c r="AG200" s="74">
        <f t="shared" si="71"/>
        <v>0</v>
      </c>
      <c r="AH200" s="74">
        <f t="shared" si="71"/>
        <v>737.79844465524411</v>
      </c>
      <c r="AI200" s="74">
        <f t="shared" si="71"/>
        <v>1478.155778200108</v>
      </c>
    </row>
    <row r="201" spans="4:37" x14ac:dyDescent="0.2">
      <c r="D201" s="26" t="s">
        <v>200</v>
      </c>
      <c r="W201" s="74"/>
      <c r="X201" s="74"/>
      <c r="Y201" s="74"/>
      <c r="Z201" s="74"/>
      <c r="AA201" s="74"/>
      <c r="AB201" s="74"/>
      <c r="AC201" s="74"/>
      <c r="AD201" s="74">
        <f t="shared" ref="AD201:AI201" si="72">+AD86+AD87</f>
        <v>6075.2413410470099</v>
      </c>
      <c r="AE201" s="74">
        <f t="shared" si="72"/>
        <v>263.01082890997003</v>
      </c>
      <c r="AF201" s="74">
        <f t="shared" si="72"/>
        <v>263.77975066363996</v>
      </c>
      <c r="AG201" s="74">
        <f t="shared" si="72"/>
        <v>980.79328594087883</v>
      </c>
      <c r="AH201" s="74">
        <f t="shared" si="72"/>
        <v>1023.7619309794331</v>
      </c>
      <c r="AI201" s="74">
        <f t="shared" si="72"/>
        <v>1139.009544907301</v>
      </c>
    </row>
    <row r="202" spans="4:37" x14ac:dyDescent="0.2">
      <c r="D202" s="26" t="s">
        <v>201</v>
      </c>
      <c r="W202" s="74"/>
      <c r="X202" s="74"/>
      <c r="Y202" s="74"/>
      <c r="Z202" s="74"/>
      <c r="AA202" s="74"/>
      <c r="AB202" s="74"/>
      <c r="AC202" s="74"/>
      <c r="AD202" s="74">
        <f t="shared" ref="AD202:AI202" si="73">+AD52</f>
        <v>5.5568618599999997</v>
      </c>
      <c r="AE202" s="74">
        <f t="shared" si="73"/>
        <v>57.610023623783995</v>
      </c>
      <c r="AF202" s="74">
        <f t="shared" si="73"/>
        <v>8.7645490092090004</v>
      </c>
      <c r="AG202" s="74">
        <f t="shared" si="73"/>
        <v>10.686994163388</v>
      </c>
      <c r="AH202" s="74">
        <f t="shared" si="73"/>
        <v>19.809637004438997</v>
      </c>
      <c r="AI202" s="74">
        <f t="shared" si="73"/>
        <v>2.63</v>
      </c>
    </row>
    <row r="203" spans="4:37" x14ac:dyDescent="0.2">
      <c r="W203" s="74"/>
      <c r="X203" s="74"/>
      <c r="Y203" s="74"/>
      <c r="Z203" s="74"/>
      <c r="AA203" s="74"/>
      <c r="AB203" s="74"/>
      <c r="AC203" s="74"/>
      <c r="AD203" s="74">
        <f>+AD200-AD201-AD202</f>
        <v>460.74379709299046</v>
      </c>
      <c r="AE203" s="74">
        <f>+AE200-AE201-AE202</f>
        <v>-170.62085253375403</v>
      </c>
      <c r="AF203" s="74">
        <f>+AF200-AF201-AF202</f>
        <v>-272.54429967284898</v>
      </c>
      <c r="AG203" s="74">
        <f>SUM(AD203:AF203)</f>
        <v>17.578644886387451</v>
      </c>
      <c r="AH203" s="74">
        <f>SUM(AE203:AG203)</f>
        <v>-425.58650732021556</v>
      </c>
      <c r="AI203" s="74">
        <f>SUM(AF203:AH203)</f>
        <v>-680.55216210667709</v>
      </c>
    </row>
    <row r="204" spans="4:37" x14ac:dyDescent="0.2">
      <c r="W204" s="74"/>
      <c r="X204" s="74"/>
      <c r="Y204" s="74"/>
      <c r="Z204" s="74"/>
      <c r="AA204" s="74"/>
      <c r="AB204" s="74"/>
      <c r="AC204" s="74"/>
      <c r="AD204" s="74"/>
      <c r="AE204" s="74"/>
      <c r="AF204" s="74"/>
      <c r="AG204" s="74"/>
      <c r="AH204" s="74"/>
      <c r="AI204" s="74"/>
    </row>
    <row r="205" spans="4:37" x14ac:dyDescent="0.2">
      <c r="W205" s="74"/>
      <c r="X205" s="74"/>
      <c r="Y205" s="74"/>
      <c r="Z205" s="74"/>
      <c r="AA205" s="74"/>
      <c r="AB205" s="74"/>
      <c r="AC205" s="74"/>
      <c r="AD205" s="28">
        <f>+AD175-AD185+AD203</f>
        <v>320.31590883986223</v>
      </c>
      <c r="AE205" s="28">
        <f t="shared" ref="AE205:AF205" si="74">+AE175-AE185+AE203</f>
        <v>63.788034462352925</v>
      </c>
      <c r="AF205" s="28">
        <f t="shared" si="74"/>
        <v>-84.318988446793014</v>
      </c>
      <c r="AG205" s="74">
        <f>SUM(AD205:AF205)</f>
        <v>299.78495485542214</v>
      </c>
      <c r="AH205" s="74">
        <f>SUM(AE205:AG205)</f>
        <v>279.25400087098205</v>
      </c>
      <c r="AI205" s="74">
        <f>SUM(AF205:AH205)</f>
        <v>494.71996727961118</v>
      </c>
    </row>
    <row r="206" spans="4:37" x14ac:dyDescent="0.2">
      <c r="W206" s="74"/>
      <c r="X206" s="74"/>
      <c r="Y206" s="74"/>
      <c r="Z206" s="74"/>
      <c r="AA206" s="74"/>
      <c r="AB206" s="74"/>
      <c r="AC206" s="74"/>
      <c r="AD206" s="74"/>
      <c r="AE206" s="74"/>
      <c r="AF206" s="74"/>
      <c r="AG206" s="74"/>
      <c r="AH206" s="74"/>
      <c r="AI206" s="74"/>
    </row>
    <row r="207" spans="4:37" x14ac:dyDescent="0.2">
      <c r="W207" s="74"/>
      <c r="X207" s="74"/>
      <c r="Y207" s="74"/>
      <c r="Z207" s="74"/>
      <c r="AA207" s="74"/>
      <c r="AB207" s="74"/>
      <c r="AC207" s="74"/>
      <c r="AD207" s="74"/>
      <c r="AE207" s="74"/>
      <c r="AF207" s="74"/>
      <c r="AG207" s="74"/>
      <c r="AH207" s="74"/>
      <c r="AI207" s="74"/>
    </row>
    <row r="208" spans="4:37" x14ac:dyDescent="0.2"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</row>
    <row r="209" spans="17:36" x14ac:dyDescent="0.2">
      <c r="W209" s="74"/>
      <c r="X209" s="74"/>
      <c r="Y209" s="74"/>
      <c r="Z209" s="74"/>
      <c r="AA209" s="74"/>
      <c r="AB209" s="74"/>
      <c r="AC209" s="74"/>
      <c r="AD209" s="74"/>
      <c r="AE209" s="74">
        <f>+AE197+AD197</f>
        <v>447.27082878599941</v>
      </c>
      <c r="AF209" s="74"/>
      <c r="AG209" s="74"/>
      <c r="AH209" s="74"/>
      <c r="AI209" s="74"/>
    </row>
    <row r="210" spans="17:36" x14ac:dyDescent="0.2">
      <c r="W210" s="74"/>
      <c r="X210" s="74"/>
      <c r="Y210" s="74"/>
      <c r="Z210" s="74"/>
      <c r="AA210" s="74"/>
      <c r="AB210" s="74"/>
      <c r="AC210" s="74"/>
      <c r="AD210" s="74"/>
      <c r="AE210" s="74">
        <v>-483.09103722760392</v>
      </c>
      <c r="AF210" s="74"/>
      <c r="AG210" s="74"/>
      <c r="AH210" s="74"/>
      <c r="AI210" s="74"/>
    </row>
    <row r="211" spans="17:36" x14ac:dyDescent="0.2">
      <c r="W211" s="74"/>
      <c r="X211" s="74"/>
      <c r="Y211" s="74"/>
      <c r="Z211" s="74"/>
      <c r="AA211" s="74"/>
      <c r="AB211" s="74"/>
      <c r="AC211" s="74"/>
      <c r="AD211" s="74"/>
      <c r="AE211" s="74">
        <f>+AE209+AE210</f>
        <v>-35.820208441604507</v>
      </c>
      <c r="AF211" s="74"/>
      <c r="AG211" s="74"/>
      <c r="AH211" s="74"/>
      <c r="AI211" s="74"/>
    </row>
    <row r="212" spans="17:36" x14ac:dyDescent="0.2">
      <c r="W212" s="74"/>
      <c r="X212" s="74"/>
      <c r="Y212" s="74"/>
      <c r="Z212" s="74"/>
      <c r="AA212" s="74"/>
      <c r="AB212" s="74"/>
      <c r="AC212" s="74"/>
      <c r="AD212" s="74">
        <f>-AD115+AD46+AD47</f>
        <v>291.64881414815306</v>
      </c>
      <c r="AE212" s="74">
        <f>-AE115+AE46+AE47</f>
        <v>355.41650788653897</v>
      </c>
      <c r="AF212" s="74"/>
      <c r="AG212" s="74"/>
      <c r="AH212" s="74"/>
      <c r="AI212" s="74"/>
    </row>
    <row r="213" spans="17:36" x14ac:dyDescent="0.2">
      <c r="W213" s="74"/>
      <c r="X213" s="74"/>
      <c r="Y213" s="74"/>
      <c r="Z213" s="74"/>
      <c r="AA213" s="74"/>
      <c r="AB213" s="74"/>
      <c r="AC213" s="74"/>
      <c r="AD213" s="74">
        <v>-182.01097866815309</v>
      </c>
      <c r="AE213" s="74">
        <v>0</v>
      </c>
      <c r="AF213" s="74"/>
      <c r="AG213" s="74"/>
      <c r="AH213" s="74"/>
      <c r="AI213" s="74"/>
      <c r="AJ213" s="26" t="s">
        <v>202</v>
      </c>
    </row>
    <row r="214" spans="17:36" x14ac:dyDescent="0.2">
      <c r="W214" s="74"/>
      <c r="X214" s="74"/>
      <c r="Y214" s="74"/>
      <c r="Z214" s="74">
        <f>+Z46+Z47+Z76+Z83+Z89+Z92+Z107+Z108-Z115+Z45</f>
        <v>3028.1335577307837</v>
      </c>
      <c r="AA214" s="74"/>
      <c r="AB214" s="74"/>
      <c r="AC214" s="74"/>
      <c r="AD214" s="74">
        <f>+AD212+AD213</f>
        <v>109.63783547999998</v>
      </c>
      <c r="AE214" s="74">
        <f>+AE212+AE213</f>
        <v>355.41650788653897</v>
      </c>
      <c r="AF214" s="74"/>
      <c r="AG214" s="74"/>
      <c r="AH214" s="74"/>
      <c r="AI214" s="74"/>
    </row>
    <row r="215" spans="17:36" x14ac:dyDescent="0.2">
      <c r="Z215" s="28">
        <v>-2834.5148287687352</v>
      </c>
      <c r="AA215" s="28"/>
      <c r="AB215" s="28"/>
      <c r="AD215" s="28"/>
    </row>
    <row r="216" spans="17:36" x14ac:dyDescent="0.2">
      <c r="Q216" s="28"/>
      <c r="R216" s="28"/>
      <c r="S216" s="28"/>
      <c r="T216" s="28"/>
      <c r="U216" s="28"/>
      <c r="V216" s="28"/>
      <c r="W216" s="28"/>
      <c r="X216" s="28"/>
      <c r="Y216" s="28"/>
      <c r="Z216" s="28">
        <f>+Z214+Z215</f>
        <v>193.61872896204841</v>
      </c>
      <c r="AA216" s="28"/>
      <c r="AB216" s="28"/>
      <c r="AC216" s="180"/>
      <c r="AD216" s="113">
        <f>+AD112+AD115+AD119</f>
        <v>320.31590883986291</v>
      </c>
      <c r="AE216" s="195">
        <f>+AE112+AE119</f>
        <v>143.70995183235311</v>
      </c>
      <c r="AF216" s="180"/>
      <c r="AG216" s="180"/>
      <c r="AH216" s="180"/>
      <c r="AI216" s="180"/>
    </row>
    <row r="217" spans="17:36" x14ac:dyDescent="0.2">
      <c r="AC217" s="28"/>
      <c r="AE217" s="28"/>
      <c r="AF217" s="28"/>
      <c r="AG217" s="28"/>
      <c r="AH217" s="28"/>
      <c r="AI217" s="28"/>
    </row>
    <row r="218" spans="17:36" x14ac:dyDescent="0.2">
      <c r="AC218" s="180"/>
      <c r="AE218" s="180"/>
      <c r="AF218" s="180"/>
      <c r="AG218" s="180"/>
      <c r="AH218" s="180"/>
      <c r="AI218" s="180"/>
    </row>
    <row r="219" spans="17:36" x14ac:dyDescent="0.2">
      <c r="Q219" s="196"/>
      <c r="R219" s="196"/>
      <c r="S219" s="196"/>
      <c r="T219" s="196"/>
      <c r="U219" s="196"/>
      <c r="V219" s="196"/>
      <c r="W219" s="196"/>
      <c r="X219" s="196"/>
      <c r="Y219" s="196"/>
      <c r="Z219" s="196"/>
      <c r="AA219" s="196"/>
      <c r="AB219" s="196"/>
      <c r="AC219" s="180"/>
      <c r="AD219" s="196"/>
      <c r="AE219" s="180"/>
      <c r="AF219" s="180"/>
      <c r="AG219" s="180"/>
      <c r="AH219" s="180"/>
      <c r="AI219" s="180"/>
    </row>
    <row r="220" spans="17:36" x14ac:dyDescent="0.2">
      <c r="Q220" s="128"/>
      <c r="R220" s="128"/>
      <c r="S220" s="128"/>
      <c r="T220" s="128"/>
      <c r="U220" s="128"/>
      <c r="V220" s="128"/>
      <c r="W220" s="128"/>
      <c r="X220" s="128"/>
      <c r="Y220" s="128"/>
      <c r="Z220" s="128"/>
      <c r="AA220" s="128"/>
      <c r="AB220" s="128"/>
      <c r="AC220" s="180"/>
      <c r="AD220" s="128"/>
      <c r="AE220" s="180"/>
      <c r="AF220" s="180"/>
      <c r="AG220" s="180"/>
      <c r="AH220" s="180">
        <v>46.782800000000002</v>
      </c>
      <c r="AI220" s="180"/>
    </row>
    <row r="221" spans="17:36" x14ac:dyDescent="0.2">
      <c r="Q221" s="196"/>
      <c r="R221" s="196"/>
      <c r="S221" s="196"/>
      <c r="T221" s="196"/>
      <c r="U221" s="196"/>
      <c r="V221" s="196"/>
      <c r="W221" s="196"/>
      <c r="X221" s="196"/>
      <c r="Y221" s="196"/>
      <c r="Z221" s="196"/>
      <c r="AA221" s="196"/>
      <c r="AB221" s="196"/>
      <c r="AC221" s="180"/>
      <c r="AD221" s="196"/>
      <c r="AE221" s="180"/>
      <c r="AF221" s="180"/>
      <c r="AG221" s="180"/>
      <c r="AH221" s="180">
        <v>47.128500000000003</v>
      </c>
      <c r="AI221" s="180"/>
    </row>
    <row r="222" spans="17:36" x14ac:dyDescent="0.2">
      <c r="AH222" s="26">
        <v>47.3172</v>
      </c>
    </row>
    <row r="223" spans="17:36" x14ac:dyDescent="0.2">
      <c r="Q223" s="74"/>
      <c r="R223" s="74"/>
      <c r="S223" s="74"/>
      <c r="T223" s="74"/>
      <c r="U223" s="74"/>
      <c r="V223" s="74"/>
      <c r="W223" s="74"/>
      <c r="X223" s="74"/>
      <c r="Y223" s="74"/>
      <c r="Z223" s="74"/>
      <c r="AA223" s="74"/>
      <c r="AB223" s="74"/>
      <c r="AC223" s="74"/>
      <c r="AD223" s="74"/>
      <c r="AE223" s="74"/>
      <c r="AF223" s="74"/>
      <c r="AG223" s="74"/>
      <c r="AH223" s="74">
        <v>47.396111111111111</v>
      </c>
      <c r="AI223" s="74"/>
    </row>
    <row r="224" spans="17:36" x14ac:dyDescent="0.2">
      <c r="AH224" s="26">
        <v>47.440199999999997</v>
      </c>
    </row>
    <row r="226" spans="5:30" x14ac:dyDescent="0.2">
      <c r="E226" s="26"/>
      <c r="F226" s="26"/>
      <c r="G226" s="26"/>
      <c r="H226" s="26"/>
      <c r="I226" s="26"/>
    </row>
    <row r="227" spans="5:30" x14ac:dyDescent="0.2">
      <c r="E227" s="26"/>
      <c r="F227" s="26"/>
      <c r="G227" s="26"/>
      <c r="H227" s="26"/>
      <c r="I227" s="26"/>
    </row>
    <row r="228" spans="5:30" x14ac:dyDescent="0.2">
      <c r="E228" s="26"/>
      <c r="F228" s="26"/>
      <c r="G228" s="26"/>
      <c r="H228" s="26"/>
      <c r="I228" s="26"/>
    </row>
    <row r="236" spans="5:30" x14ac:dyDescent="0.2">
      <c r="AD236" s="39"/>
    </row>
    <row r="237" spans="5:30" x14ac:dyDescent="0.2">
      <c r="AD237" s="39"/>
    </row>
    <row r="240" spans="5:30" x14ac:dyDescent="0.2">
      <c r="AD240" s="39"/>
    </row>
    <row r="241" spans="30:30" x14ac:dyDescent="0.2">
      <c r="AD241" s="44"/>
    </row>
    <row r="242" spans="30:30" x14ac:dyDescent="0.2">
      <c r="AD242" s="176"/>
    </row>
  </sheetData>
  <mergeCells count="47">
    <mergeCell ref="J124:J125"/>
    <mergeCell ref="D124:D125"/>
    <mergeCell ref="E124:E125"/>
    <mergeCell ref="F124:F125"/>
    <mergeCell ref="G124:G125"/>
    <mergeCell ref="H124:H125"/>
    <mergeCell ref="I124:I125"/>
    <mergeCell ref="AP9:AP10"/>
    <mergeCell ref="AE9:AE10"/>
    <mergeCell ref="AF9:AF10"/>
    <mergeCell ref="AG9:AG10"/>
    <mergeCell ref="AH9:AH10"/>
    <mergeCell ref="AI9:AI10"/>
    <mergeCell ref="AJ9:AJ10"/>
    <mergeCell ref="AK9:AK10"/>
    <mergeCell ref="AL9:AL10"/>
    <mergeCell ref="AM9:AM10"/>
    <mergeCell ref="AN9:AN10"/>
    <mergeCell ref="AO9:AO10"/>
    <mergeCell ref="AD9:AD10"/>
    <mergeCell ref="S9:S10"/>
    <mergeCell ref="T9:T10"/>
    <mergeCell ref="U9:U10"/>
    <mergeCell ref="V9:V10"/>
    <mergeCell ref="W9:W10"/>
    <mergeCell ref="X9:X10"/>
    <mergeCell ref="Y9:Y10"/>
    <mergeCell ref="Z9:Z10"/>
    <mergeCell ref="AA9:AA10"/>
    <mergeCell ref="AB9:AB10"/>
    <mergeCell ref="AC9:AC10"/>
    <mergeCell ref="R9:R10"/>
    <mergeCell ref="D2:AX2"/>
    <mergeCell ref="D3:AX3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Q9:Q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Ejecución Presupuestaria</vt:lpstr>
      <vt:lpstr>Ejecución Presupuestaria.</vt:lpstr>
      <vt:lpstr>Evolutivo FC </vt:lpstr>
      <vt:lpstr>'Ejecución Presupuestaria'!Área_de_impresión</vt:lpstr>
      <vt:lpstr>'Ejecución Presupuestaria.'!Área_de_impresión</vt:lpstr>
    </vt:vector>
  </TitlesOfParts>
  <Company>EDESUR DOMINICANA,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Raymundo Mercedes</dc:creator>
  <cp:lastModifiedBy>Dilcia Villanueva Villanueva</cp:lastModifiedBy>
  <cp:lastPrinted>2017-08-15T20:34:55Z</cp:lastPrinted>
  <dcterms:created xsi:type="dcterms:W3CDTF">2017-08-10T11:15:04Z</dcterms:created>
  <dcterms:modified xsi:type="dcterms:W3CDTF">2017-10-20T18:53:18Z</dcterms:modified>
</cp:coreProperties>
</file>